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192.168.1.51\e\Для Сташкиной С.С\Соц.заказ\"/>
    </mc:Choice>
  </mc:AlternateContent>
  <bookViews>
    <workbookView xWindow="0" yWindow="0" windowWidth="19200" windowHeight="11595" tabRatio="754"/>
  </bookViews>
  <sheets>
    <sheet name="Параметры ПФ" sheetId="7" r:id="rId1"/>
    <sheet name="Стандартные программы" sheetId="5" r:id="rId2"/>
    <sheet name="Дистанционные программы" sheetId="8" r:id="rId3"/>
    <sheet name="Очно-заочные программы" sheetId="9" r:id="rId4"/>
    <sheet name="Адаптированные программы" sheetId="10" r:id="rId5"/>
  </sheets>
  <definedNames>
    <definedName name="_xlnm._FilterDatabase" localSheetId="1" hidden="1">'Стандартные программы'!$A$1:$S$35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F14" i="7" l="1"/>
  <c r="F15" i="7" s="1"/>
  <c r="F16" i="7"/>
  <c r="F17" i="7"/>
  <c r="F18" i="7"/>
  <c r="F19" i="7"/>
  <c r="F13" i="7" l="1"/>
  <c r="E5" i="7"/>
  <c r="E6" i="7" s="1"/>
  <c r="R3" i="7"/>
  <c r="P3" i="7"/>
  <c r="N3" i="7"/>
  <c r="L3" i="7"/>
  <c r="J3" i="7"/>
  <c r="H3" i="7"/>
  <c r="I15" i="5" l="1"/>
  <c r="J15" i="5" s="1"/>
  <c r="I17" i="5"/>
  <c r="J17" i="5" s="1"/>
  <c r="I19" i="5"/>
  <c r="J19" i="5" s="1"/>
  <c r="I21" i="5"/>
  <c r="J21" i="5" s="1"/>
  <c r="I16" i="5"/>
  <c r="J16" i="5" s="1"/>
  <c r="I18" i="5"/>
  <c r="J18" i="5" s="1"/>
  <c r="I20" i="5"/>
  <c r="J20" i="5" s="1"/>
  <c r="G39" i="9"/>
  <c r="G39" i="10"/>
  <c r="G39" i="8"/>
  <c r="M18" i="5" l="1"/>
  <c r="K18" i="5"/>
  <c r="L18" i="5" s="1"/>
  <c r="P18" i="5" s="1"/>
  <c r="M21" i="5"/>
  <c r="K21" i="5"/>
  <c r="L21" i="5" s="1"/>
  <c r="M20" i="5"/>
  <c r="K20" i="5"/>
  <c r="M16" i="5"/>
  <c r="K16" i="5"/>
  <c r="M19" i="5"/>
  <c r="K19" i="5"/>
  <c r="M15" i="5"/>
  <c r="K15" i="5"/>
  <c r="M17" i="5"/>
  <c r="K17" i="5"/>
  <c r="L17" i="5" s="1"/>
  <c r="P17" i="5" s="1"/>
  <c r="G19" i="7"/>
  <c r="H19" i="7"/>
  <c r="I19" i="7"/>
  <c r="J19" i="7"/>
  <c r="K19" i="7"/>
  <c r="R17" i="5" l="1"/>
  <c r="P21" i="5"/>
  <c r="R21" i="5" s="1"/>
  <c r="R18" i="5"/>
  <c r="N21" i="5"/>
  <c r="Q17" i="5"/>
  <c r="S17" i="5" s="1"/>
  <c r="N15" i="5"/>
  <c r="L15" i="5"/>
  <c r="N19" i="5"/>
  <c r="L19" i="5"/>
  <c r="L16" i="5"/>
  <c r="N16" i="5"/>
  <c r="N20" i="5"/>
  <c r="L20" i="5"/>
  <c r="Q15" i="5"/>
  <c r="S15" i="5" s="1"/>
  <c r="Q19" i="5"/>
  <c r="S19" i="5" s="1"/>
  <c r="Q16" i="5"/>
  <c r="S16" i="5" s="1"/>
  <c r="Q20" i="5"/>
  <c r="S20" i="5" s="1"/>
  <c r="Q21" i="5"/>
  <c r="S21" i="5" s="1"/>
  <c r="Q18" i="5"/>
  <c r="S18" i="5" s="1"/>
  <c r="N18" i="5"/>
  <c r="N17" i="5"/>
  <c r="K18" i="7"/>
  <c r="J18" i="7"/>
  <c r="I18" i="7"/>
  <c r="H18" i="7"/>
  <c r="G18" i="7"/>
  <c r="K16" i="7"/>
  <c r="J16" i="7"/>
  <c r="I16" i="7"/>
  <c r="H16" i="7"/>
  <c r="G16" i="7"/>
  <c r="K14" i="7"/>
  <c r="K15" i="7" s="1"/>
  <c r="J14" i="7"/>
  <c r="J15" i="7" s="1"/>
  <c r="I14" i="7"/>
  <c r="I15" i="7" s="1"/>
  <c r="H14" i="7"/>
  <c r="H15" i="7" s="1"/>
  <c r="G14" i="7"/>
  <c r="G15" i="7" s="1"/>
  <c r="K17" i="7"/>
  <c r="J17" i="7"/>
  <c r="I17" i="7"/>
  <c r="H17" i="7"/>
  <c r="G17" i="7"/>
  <c r="P16" i="5" l="1"/>
  <c r="R16" i="5" s="1"/>
  <c r="P20" i="5"/>
  <c r="R20" i="5" s="1"/>
  <c r="P19" i="5"/>
  <c r="R19" i="5" s="1"/>
  <c r="P15" i="5"/>
  <c r="R15" i="5" s="1"/>
  <c r="G13" i="7"/>
  <c r="K13" i="7"/>
  <c r="H13" i="7"/>
  <c r="J13" i="7"/>
  <c r="I13" i="7"/>
  <c r="I10" i="5" l="1"/>
  <c r="I11" i="5"/>
  <c r="I13" i="5"/>
  <c r="I12" i="5"/>
  <c r="I14" i="5"/>
  <c r="I30" i="5"/>
  <c r="J30" i="5" s="1"/>
  <c r="I27" i="5"/>
  <c r="I31" i="5"/>
  <c r="I26" i="5"/>
  <c r="I34" i="5"/>
  <c r="I25" i="5"/>
  <c r="I29" i="5"/>
  <c r="I33" i="5"/>
  <c r="I24" i="5"/>
  <c r="I28" i="5"/>
  <c r="I32" i="5"/>
  <c r="I3" i="5"/>
  <c r="J3" i="5" s="1"/>
  <c r="I5" i="5"/>
  <c r="J5" i="5" s="1"/>
  <c r="I4" i="5"/>
  <c r="J4" i="5" s="1"/>
  <c r="I8" i="5"/>
  <c r="J8" i="5" s="1"/>
  <c r="I23" i="5"/>
  <c r="I9" i="5"/>
  <c r="J9" i="5" s="1"/>
  <c r="I6" i="5"/>
  <c r="J6" i="5" s="1"/>
  <c r="I2" i="5"/>
  <c r="I22" i="5"/>
  <c r="I7" i="5"/>
  <c r="J7" i="5" s="1"/>
  <c r="J12" i="5" l="1"/>
  <c r="J11" i="5"/>
  <c r="J14" i="5"/>
  <c r="J13" i="5"/>
  <c r="J10" i="5"/>
  <c r="J22" i="5"/>
  <c r="J23" i="5"/>
  <c r="K5" i="5"/>
  <c r="M5" i="5"/>
  <c r="Q5" i="5" s="1"/>
  <c r="K4" i="5"/>
  <c r="M4" i="5"/>
  <c r="Q4" i="5" s="1"/>
  <c r="K3" i="5"/>
  <c r="M3" i="5"/>
  <c r="Q3" i="5" s="1"/>
  <c r="K30" i="5"/>
  <c r="M30" i="5"/>
  <c r="Q30" i="5" s="1"/>
  <c r="K6" i="5"/>
  <c r="M6" i="5"/>
  <c r="Q6" i="5" s="1"/>
  <c r="K9" i="5"/>
  <c r="M9" i="5"/>
  <c r="Q9" i="5" s="1"/>
  <c r="K7" i="5"/>
  <c r="M7" i="5"/>
  <c r="Q7" i="5" s="1"/>
  <c r="K8" i="5"/>
  <c r="M8" i="5"/>
  <c r="Q8" i="5" s="1"/>
  <c r="J28" i="5"/>
  <c r="J29" i="5"/>
  <c r="J26" i="5"/>
  <c r="J27" i="5"/>
  <c r="J32" i="5"/>
  <c r="J33" i="5"/>
  <c r="J34" i="5"/>
  <c r="J31" i="5"/>
  <c r="J24" i="5"/>
  <c r="J25" i="5"/>
  <c r="M25" i="5" s="1"/>
  <c r="J2" i="5"/>
  <c r="M10" i="5" l="1"/>
  <c r="K10" i="5"/>
  <c r="M13" i="5"/>
  <c r="K13" i="5"/>
  <c r="M14" i="5"/>
  <c r="K14" i="5"/>
  <c r="M11" i="5"/>
  <c r="K11" i="5"/>
  <c r="M12" i="5"/>
  <c r="K12" i="5"/>
  <c r="M24" i="5"/>
  <c r="K24" i="5"/>
  <c r="M23" i="5"/>
  <c r="K23" i="5"/>
  <c r="M22" i="5"/>
  <c r="K22" i="5"/>
  <c r="K26" i="5"/>
  <c r="M26" i="5"/>
  <c r="K2" i="5"/>
  <c r="N2" i="5" s="1"/>
  <c r="M2" i="5"/>
  <c r="Q2" i="5" s="1"/>
  <c r="K29" i="5"/>
  <c r="M29" i="5"/>
  <c r="Q29" i="5" s="1"/>
  <c r="K31" i="5"/>
  <c r="M31" i="5"/>
  <c r="Q31" i="5" s="1"/>
  <c r="K34" i="5"/>
  <c r="M34" i="5"/>
  <c r="Q34" i="5" s="1"/>
  <c r="K33" i="5"/>
  <c r="M33" i="5"/>
  <c r="Q33" i="5" s="1"/>
  <c r="K27" i="5"/>
  <c r="M27" i="5"/>
  <c r="K25" i="5"/>
  <c r="L25" i="5" s="1"/>
  <c r="Q25" i="5"/>
  <c r="S25" i="5" s="1"/>
  <c r="K28" i="5"/>
  <c r="M28" i="5"/>
  <c r="Q28" i="5" s="1"/>
  <c r="K32" i="5"/>
  <c r="M32" i="5"/>
  <c r="Q32" i="5" s="1"/>
  <c r="I3" i="10"/>
  <c r="I2" i="10"/>
  <c r="Q12" i="5" l="1"/>
  <c r="S12" i="5" s="1"/>
  <c r="Q11" i="5"/>
  <c r="S11" i="5" s="1"/>
  <c r="Q14" i="5"/>
  <c r="S14" i="5" s="1"/>
  <c r="Q13" i="5"/>
  <c r="S13" i="5" s="1"/>
  <c r="Q10" i="5"/>
  <c r="S10" i="5" s="1"/>
  <c r="L12" i="5"/>
  <c r="N12" i="5"/>
  <c r="L11" i="5"/>
  <c r="N11" i="5"/>
  <c r="L14" i="5"/>
  <c r="N14" i="5"/>
  <c r="L13" i="5"/>
  <c r="N13" i="5"/>
  <c r="L10" i="5"/>
  <c r="N10" i="5"/>
  <c r="Q22" i="5"/>
  <c r="S22" i="5" s="1"/>
  <c r="Q23" i="5"/>
  <c r="S23" i="5" s="1"/>
  <c r="Q24" i="5"/>
  <c r="S24" i="5" s="1"/>
  <c r="Q27" i="5"/>
  <c r="S27" i="5" s="1"/>
  <c r="Q26" i="5"/>
  <c r="S26" i="5" s="1"/>
  <c r="L22" i="5"/>
  <c r="N22" i="5"/>
  <c r="L23" i="5"/>
  <c r="N23" i="5"/>
  <c r="L24" i="5"/>
  <c r="P24" i="5" s="1"/>
  <c r="N24" i="5"/>
  <c r="S2" i="5"/>
  <c r="S6" i="5"/>
  <c r="S33" i="5"/>
  <c r="S31" i="5"/>
  <c r="S32" i="5"/>
  <c r="S34" i="5"/>
  <c r="S9" i="5"/>
  <c r="S3" i="5"/>
  <c r="S4" i="5"/>
  <c r="S8" i="5"/>
  <c r="S29" i="5"/>
  <c r="S30" i="5"/>
  <c r="S5" i="5"/>
  <c r="S7" i="5"/>
  <c r="S28" i="5"/>
  <c r="L28" i="5"/>
  <c r="P28" i="5" s="1"/>
  <c r="N28" i="5"/>
  <c r="L32" i="5"/>
  <c r="P32" i="5" s="1"/>
  <c r="N32" i="5"/>
  <c r="J2" i="10"/>
  <c r="J3" i="10"/>
  <c r="M3" i="10" s="1"/>
  <c r="Q3" i="10" s="1"/>
  <c r="L30" i="5"/>
  <c r="P30" i="5" s="1"/>
  <c r="N30" i="5"/>
  <c r="L26" i="5"/>
  <c r="P26" i="5" s="1"/>
  <c r="N26" i="5"/>
  <c r="L34" i="5"/>
  <c r="P34" i="5" s="1"/>
  <c r="N34" i="5"/>
  <c r="L29" i="5"/>
  <c r="P29" i="5" s="1"/>
  <c r="N29" i="5"/>
  <c r="L33" i="5"/>
  <c r="P33" i="5" s="1"/>
  <c r="N33" i="5"/>
  <c r="L27" i="5"/>
  <c r="P27" i="5" s="1"/>
  <c r="N27" i="5"/>
  <c r="L31" i="5"/>
  <c r="P31" i="5" s="1"/>
  <c r="N31" i="5"/>
  <c r="P25" i="5"/>
  <c r="N25" i="5"/>
  <c r="M35" i="5"/>
  <c r="N4" i="5"/>
  <c r="L4" i="5"/>
  <c r="P4" i="5" s="1"/>
  <c r="L2" i="5"/>
  <c r="N3" i="5"/>
  <c r="L3" i="5"/>
  <c r="P3" i="5" s="1"/>
  <c r="N6" i="5"/>
  <c r="L6" i="5"/>
  <c r="P6" i="5" s="1"/>
  <c r="N7" i="5"/>
  <c r="L7" i="5"/>
  <c r="P7" i="5" s="1"/>
  <c r="N9" i="5"/>
  <c r="L9" i="5"/>
  <c r="P9" i="5" s="1"/>
  <c r="N5" i="5"/>
  <c r="L5" i="5"/>
  <c r="P5" i="5" s="1"/>
  <c r="N8" i="5"/>
  <c r="L8" i="5"/>
  <c r="P8" i="5" s="1"/>
  <c r="P10" i="5" l="1"/>
  <c r="R10" i="5" s="1"/>
  <c r="P13" i="5"/>
  <c r="R13" i="5" s="1"/>
  <c r="P14" i="5"/>
  <c r="R14" i="5" s="1"/>
  <c r="P11" i="5"/>
  <c r="R11" i="5" s="1"/>
  <c r="P12" i="5"/>
  <c r="R12" i="5" s="1"/>
  <c r="P23" i="5"/>
  <c r="R23" i="5" s="1"/>
  <c r="P22" i="5"/>
  <c r="R22" i="5" s="1"/>
  <c r="P2" i="5"/>
  <c r="R2" i="5" s="1"/>
  <c r="S7" i="10"/>
  <c r="S6" i="10"/>
  <c r="S18" i="10"/>
  <c r="S13" i="10"/>
  <c r="S24" i="10"/>
  <c r="S33" i="10"/>
  <c r="S30" i="10"/>
  <c r="S8" i="10"/>
  <c r="S37" i="10"/>
  <c r="S14" i="10"/>
  <c r="S31" i="10"/>
  <c r="S22" i="10"/>
  <c r="S12" i="10"/>
  <c r="S19" i="10"/>
  <c r="S5" i="10"/>
  <c r="S9" i="10"/>
  <c r="S27" i="10"/>
  <c r="S26" i="10"/>
  <c r="S11" i="10"/>
  <c r="S10" i="10"/>
  <c r="S32" i="10"/>
  <c r="S21" i="10"/>
  <c r="S23" i="10"/>
  <c r="S38" i="10"/>
  <c r="S28" i="10"/>
  <c r="S25" i="10"/>
  <c r="S15" i="10"/>
  <c r="S4" i="10"/>
  <c r="S36" i="10"/>
  <c r="S17" i="10"/>
  <c r="S20" i="10"/>
  <c r="S34" i="10"/>
  <c r="S35" i="10"/>
  <c r="S16" i="10"/>
  <c r="S29" i="10"/>
  <c r="M2" i="10"/>
  <c r="Q2" i="10" s="1"/>
  <c r="K2" i="10"/>
  <c r="R3" i="5"/>
  <c r="R31" i="5"/>
  <c r="R28" i="5"/>
  <c r="R9" i="5"/>
  <c r="R27" i="5"/>
  <c r="R30" i="5"/>
  <c r="R7" i="5"/>
  <c r="R34" i="5"/>
  <c r="R5" i="5"/>
  <c r="R29" i="5"/>
  <c r="S35" i="5"/>
  <c r="R4" i="5"/>
  <c r="R25" i="5"/>
  <c r="R24" i="5"/>
  <c r="Q35" i="5"/>
  <c r="R8" i="5"/>
  <c r="R6" i="5"/>
  <c r="R33" i="5"/>
  <c r="R26" i="5"/>
  <c r="R32" i="5"/>
  <c r="K3" i="10"/>
  <c r="N3" i="10" s="1"/>
  <c r="L35" i="5"/>
  <c r="S38" i="9" l="1"/>
  <c r="S38" i="8"/>
  <c r="P35" i="5"/>
  <c r="R35" i="5"/>
  <c r="M39" i="8"/>
  <c r="L2" i="10"/>
  <c r="N2" i="10"/>
  <c r="M39" i="10"/>
  <c r="L3" i="10"/>
  <c r="P3" i="10" s="1"/>
  <c r="M39" i="9"/>
  <c r="P2" i="10" l="1"/>
  <c r="L39" i="10"/>
  <c r="S39" i="9"/>
  <c r="R37" i="10"/>
  <c r="R38" i="10"/>
  <c r="R34" i="10"/>
  <c r="R20" i="10"/>
  <c r="R27" i="10"/>
  <c r="R11" i="10"/>
  <c r="R32" i="10"/>
  <c r="R31" i="10"/>
  <c r="R3" i="10"/>
  <c r="S3" i="10"/>
  <c r="R29" i="10"/>
  <c r="R33" i="10"/>
  <c r="R14" i="10"/>
  <c r="R24" i="10"/>
  <c r="R18" i="10"/>
  <c r="R7" i="10"/>
  <c r="R28" i="10"/>
  <c r="R6" i="10"/>
  <c r="R21" i="10"/>
  <c r="R38" i="9"/>
  <c r="R13" i="10"/>
  <c r="R30" i="10"/>
  <c r="R38" i="8"/>
  <c r="R12" i="10"/>
  <c r="R23" i="10"/>
  <c r="R16" i="10"/>
  <c r="R19" i="10"/>
  <c r="R36" i="10"/>
  <c r="R5" i="10"/>
  <c r="R8" i="10"/>
  <c r="R25" i="10"/>
  <c r="R35" i="10"/>
  <c r="R15" i="10"/>
  <c r="R22" i="10"/>
  <c r="R4" i="10"/>
  <c r="R17" i="10"/>
  <c r="R9" i="10"/>
  <c r="R26" i="10"/>
  <c r="R10" i="10"/>
  <c r="R2" i="10"/>
  <c r="N7" i="7"/>
  <c r="L39" i="9"/>
  <c r="L39" i="8"/>
  <c r="P39" i="9" l="1"/>
  <c r="S39" i="8"/>
  <c r="Q39" i="10"/>
  <c r="S2" i="10"/>
  <c r="S39" i="10" s="1"/>
  <c r="P39" i="8"/>
  <c r="R39" i="8"/>
  <c r="R39" i="9"/>
  <c r="Q39" i="9"/>
  <c r="P39" i="10"/>
  <c r="Q39" i="8"/>
  <c r="R39" i="10"/>
  <c r="N12" i="7"/>
  <c r="R12" i="7" l="1"/>
  <c r="P12" i="7"/>
  <c r="R7" i="7"/>
  <c r="P7" i="7"/>
  <c r="S13" i="7" l="1"/>
  <c r="S8" i="7"/>
</calcChain>
</file>

<file path=xl/sharedStrings.xml><?xml version="1.0" encoding="utf-8"?>
<sst xmlns="http://schemas.openxmlformats.org/spreadsheetml/2006/main" count="278" uniqueCount="106">
  <si>
    <t>Наименование муниципалитета</t>
  </si>
  <si>
    <t>Техническая</t>
  </si>
  <si>
    <t>Естественнонаучная</t>
  </si>
  <si>
    <t>Художественная</t>
  </si>
  <si>
    <t>Туристско-краеведческая</t>
  </si>
  <si>
    <t>Физкультурно-спортивная</t>
  </si>
  <si>
    <t>Количество учебных недель в году</t>
  </si>
  <si>
    <t>Направленность</t>
  </si>
  <si>
    <t>Коэффициент доли работников АУП</t>
  </si>
  <si>
    <t>Минимальное число детей в группе</t>
  </si>
  <si>
    <t>Сумма затрат на повышение квалификации, в день</t>
  </si>
  <si>
    <t>Максимальное число детей в группе</t>
  </si>
  <si>
    <t>Стоимость медосмотра</t>
  </si>
  <si>
    <t>Нормативные затраты на час, всего</t>
  </si>
  <si>
    <t>Затраты на содержание имущества, на час реализации программы</t>
  </si>
  <si>
    <t>Затраты на оплату труда педагогических работников</t>
  </si>
  <si>
    <t>Стоимость комплекта средств обучения, по направленностям</t>
  </si>
  <si>
    <t>Затраты на оплату труда АУП</t>
  </si>
  <si>
    <t>Затраты на повышение квал-ии и медосмотры</t>
  </si>
  <si>
    <t>Затраты на приобретение средств обучения и учебной литературы</t>
  </si>
  <si>
    <t>Затраты на содержание имущества</t>
  </si>
  <si>
    <t>Норматив использования средств обучения в часах в год</t>
  </si>
  <si>
    <t>Стоимость учебного пособия</t>
  </si>
  <si>
    <t>Средняя зарплата по региону (целевой индикатор по Указу)</t>
  </si>
  <si>
    <t>Учреждение</t>
  </si>
  <si>
    <t>Программа</t>
  </si>
  <si>
    <t>Количество мест</t>
  </si>
  <si>
    <t>Норматив затрат по ПФ</t>
  </si>
  <si>
    <t>х</t>
  </si>
  <si>
    <t>Количество учебных часов в неделю</t>
  </si>
  <si>
    <t>Предполагаемая цена за чел/час</t>
  </si>
  <si>
    <t>ДОХОД учреждения по ПФ ДОД</t>
  </si>
  <si>
    <t>Справочно число педчасов на указную зарплату при установленных параметрах</t>
  </si>
  <si>
    <t>Социально-гуманитарная</t>
  </si>
  <si>
    <t>Объем муниципального задания ПФДОД, человеко-часов</t>
  </si>
  <si>
    <t>Количество учебных недель в периоде обучения</t>
  </si>
  <si>
    <t>Стоимость 1 места в периоде обучения</t>
  </si>
  <si>
    <t>Оплата 1 места в периоде обучения сертификатом</t>
  </si>
  <si>
    <t>Доплата со стороны родителей за 1 место в периоде обучения</t>
  </si>
  <si>
    <t>Отраслевые коэффициенты</t>
  </si>
  <si>
    <t>Адаптированная программа для детей с ОВЗ</t>
  </si>
  <si>
    <t>Программа в дистанционной форме</t>
  </si>
  <si>
    <t>Программа в очно-заочной форме</t>
  </si>
  <si>
    <t>Объем муниципального задания ПФ ДОД, человеко-часов</t>
  </si>
  <si>
    <t>Коэффициент к дополнительной категории</t>
  </si>
  <si>
    <t>Номинал сертификата в часах (годовой)</t>
  </si>
  <si>
    <t>Номинал сертификата в часах (на период 1.03.23 - 31.12.23)</t>
  </si>
  <si>
    <t>Номинал сертификата в рублях (годовой)</t>
  </si>
  <si>
    <t>Номинал сертификата в рублях (на период 1.03.23 - 31.12.23)</t>
  </si>
  <si>
    <t>Категория все дети от 5 до 18 лет</t>
  </si>
  <si>
    <t>Категория ОВЗ</t>
  </si>
  <si>
    <t>Дополнительная категория (наименование указать вручную)</t>
  </si>
  <si>
    <t>Всего на 2023 год</t>
  </si>
  <si>
    <t>на период с 1.03.23 по 31.12. 23</t>
  </si>
  <si>
    <t>на период с 1.01.23 по 28.02.23</t>
  </si>
  <si>
    <t>Требуемый объем финансирования по категории на год, руб.</t>
  </si>
  <si>
    <t>Количество учебных недель в периоде с 1.01.23 по 28.02.23</t>
  </si>
  <si>
    <t>ДОХОД учреждения по ПФ ДОД с 1.01.23 по 28.02.23</t>
  </si>
  <si>
    <t>Объем муниципального задания ПФДОД с 1.01.23 по 28.02.23, человеко-часов</t>
  </si>
  <si>
    <t>ДОХОД учреждения по СЗ с 1.03.23 по 31.12.23</t>
  </si>
  <si>
    <t>Объем муниципального задания СЗ с 1.03.23 по 31.12.23, человеко-часов</t>
  </si>
  <si>
    <t>Количество учебных недель в периоде с 1.03.23 по 31.12.23</t>
  </si>
  <si>
    <r>
      <t>Среднее число учащихся на педагога Q</t>
    </r>
    <r>
      <rPr>
        <vertAlign val="subscript"/>
        <sz val="12"/>
        <color theme="1"/>
        <rFont val="Calibri"/>
        <family val="2"/>
        <scheme val="minor"/>
      </rPr>
      <t>сред</t>
    </r>
  </si>
  <si>
    <r>
      <t>Средняя норма часов в год на одного ребенка V</t>
    </r>
    <r>
      <rPr>
        <vertAlign val="subscript"/>
        <sz val="12"/>
        <color theme="1"/>
        <rFont val="Calibri"/>
        <family val="2"/>
        <scheme val="minor"/>
      </rPr>
      <t>час</t>
    </r>
  </si>
  <si>
    <t>Выделенный объем финансового обеспечения на ПФ на 2023 год, рублей</t>
  </si>
  <si>
    <r>
      <t xml:space="preserve">Объем финансового обеспечения на </t>
    </r>
    <r>
      <rPr>
        <b/>
        <sz val="14"/>
        <color theme="1"/>
        <rFont val="Calibri"/>
        <family val="2"/>
        <charset val="204"/>
        <scheme val="minor"/>
      </rPr>
      <t>СЗ на период с 1.03.23 по 31.12.23</t>
    </r>
    <r>
      <rPr>
        <sz val="14"/>
        <color theme="1"/>
        <rFont val="Calibri"/>
        <family val="2"/>
        <scheme val="minor"/>
      </rPr>
      <t>, рублей</t>
    </r>
  </si>
  <si>
    <r>
      <t xml:space="preserve">Объем финансового обеспечения </t>
    </r>
    <r>
      <rPr>
        <b/>
        <sz val="14"/>
        <rFont val="Calibri"/>
        <family val="2"/>
        <charset val="204"/>
        <scheme val="minor"/>
      </rPr>
      <t>ПФ на период 1.01.23 - 28.02.23</t>
    </r>
    <r>
      <rPr>
        <sz val="14"/>
        <rFont val="Calibri"/>
        <family val="2"/>
        <scheme val="minor"/>
      </rPr>
      <t>, рублей</t>
    </r>
  </si>
  <si>
    <t>Расчетный номинал в рублях, согласно утвержденным расчетам по категории все дети от 5 до 18 лет</t>
  </si>
  <si>
    <t>Расчетный номинал в рублях, согласно утвержденным расчетам по дополнительной категории</t>
  </si>
  <si>
    <t>Объем муниципального задания по ПФ в человеко/часах</t>
  </si>
  <si>
    <t>Доход учреждения ПФ в рублях</t>
  </si>
  <si>
    <t>Расчетный номинал в рублях, согласно утвержденным расчетам по категории все дети от 5 до 18 лет с ОВЗ</t>
  </si>
  <si>
    <t>МАОУ АГО "ЦДО"</t>
  </si>
  <si>
    <t>Развивайка</t>
  </si>
  <si>
    <t>Историческое краеведение</t>
  </si>
  <si>
    <t>Школа юного краеведа</t>
  </si>
  <si>
    <t>Природа и художник</t>
  </si>
  <si>
    <t>Увлекательное рукоделие</t>
  </si>
  <si>
    <t>Школа танца</t>
  </si>
  <si>
    <t xml:space="preserve">Бисероплетение </t>
  </si>
  <si>
    <t>Изобразительная деятельность</t>
  </si>
  <si>
    <t>Дети и театр</t>
  </si>
  <si>
    <t>Изобразительное искусство</t>
  </si>
  <si>
    <t>Мультфильм - от идеи до воплощения</t>
  </si>
  <si>
    <t xml:space="preserve">
Занимательная робототехника</t>
  </si>
  <si>
    <t xml:space="preserve">
Начальная робототехника</t>
  </si>
  <si>
    <t>Начальная робототехника</t>
  </si>
  <si>
    <t xml:space="preserve">Компьютерный художник </t>
  </si>
  <si>
    <t>LEGO Mindstorms NXT и EV3: основы конструирования и программирования роботов</t>
  </si>
  <si>
    <t xml:space="preserve">КомГрафика </t>
  </si>
  <si>
    <t>Белая ладья 2,3,4 год обучения</t>
  </si>
  <si>
    <t>Белая ладья 1 год обучения</t>
  </si>
  <si>
    <t>Лыжные гонки 1 год обучения</t>
  </si>
  <si>
    <t>Лыжные гонки 2 год обучения</t>
  </si>
  <si>
    <t xml:space="preserve">Лыжные гонки для начинающих </t>
  </si>
  <si>
    <t>Дополнительная общеразвивающая программа, реализуемая в сетевой форме "Лыжные гонки"</t>
  </si>
  <si>
    <t>Дополнительная общеразвивающая программа "Танцевальная аэробика"</t>
  </si>
  <si>
    <t>Дополнительная общеразвивающая программа, реализуемая в сетевой форме "Футбол"  1 год обучения</t>
  </si>
  <si>
    <t>Дополнительная общеразвивающая программа, реализуемая в сетевой форме "Футбол"  2,3 год обучения</t>
  </si>
  <si>
    <t>МАУ ДО "Артинская ДЮСШ им ЗТ России ЮВ Мельцова"</t>
  </si>
  <si>
    <t>Дополнительная общеобразовательная общеразвивающая программа "Самбо" (для спортивно-оздоровительных групп) 2 год обучения</t>
  </si>
  <si>
    <t>Дополнительная общеобразовательная общеразвивающая программа "БОКС" (для спортивно-оздоровительных групп ПФДО)</t>
  </si>
  <si>
    <t>Дополнительная общеобразовательная общеразвивающая программа "Бокс" (для спортивно-оздоровительных групп ПФДО)</t>
  </si>
  <si>
    <t>Дополнительная общеобразовательная общеразвивающая программа "Волейбол"</t>
  </si>
  <si>
    <t>Артинский ГО</t>
  </si>
  <si>
    <t>Психология здоровья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</si>
</sst>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#,##0\ &quot;₽&quot;"/>
    <numFmt numFmtId="166" formatCode="0.00_ ;[Red]\-0.00\ "/>
    <numFmt numFmtId="167" formatCode="#,##0_ ;\-#,##0\ "/>
  </numFmts>
  <fonts count="2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rgb="FF00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 Cyr"/>
      <charset val="204"/>
    </font>
    <font>
      <sz val="10"/>
      <color theme="0" tint="-0.34998626667073579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2"/>
      <name val="Calibri"/>
      <family val="2"/>
      <charset val="204"/>
      <scheme val="minor"/>
    </font>
    <font>
      <i/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3" fillId="0" borderId="0"/>
  </cellStyleXfs>
  <cellXfs count="126">
    <xf numFmtId="0" fontId="0" fillId="0" borderId="0" xfId="0"/>
    <xf numFmtId="0" fontId="0" fillId="3" borderId="1" xfId="0" applyFill="1" applyBorder="1" applyProtection="1">
      <protection locked="0"/>
    </xf>
    <xf numFmtId="43" fontId="0" fillId="0" borderId="1" xfId="1" applyFont="1" applyBorder="1" applyAlignment="1">
      <alignment wrapText="1"/>
    </xf>
    <xf numFmtId="43" fontId="0" fillId="0" borderId="1" xfId="0" applyNumberFormat="1" applyBorder="1"/>
    <xf numFmtId="1" fontId="6" fillId="0" borderId="1" xfId="0" applyNumberFormat="1" applyFont="1" applyBorder="1" applyAlignment="1" applyProtection="1">
      <alignment horizontal="center"/>
      <protection locked="0"/>
    </xf>
    <xf numFmtId="4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3" fontId="0" fillId="0" borderId="0" xfId="1" applyFont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3" fontId="0" fillId="3" borderId="1" xfId="1" applyFont="1" applyFill="1" applyBorder="1" applyAlignment="1" applyProtection="1">
      <alignment horizontal="center"/>
      <protection locked="0"/>
    </xf>
    <xf numFmtId="9" fontId="0" fillId="0" borderId="0" xfId="2" applyFont="1" applyAlignment="1">
      <alignment horizontal="center" wrapText="1"/>
    </xf>
    <xf numFmtId="43" fontId="10" fillId="0" borderId="1" xfId="1" applyFont="1" applyBorder="1" applyAlignment="1">
      <alignment horizontal="center" vertical="center" wrapText="1"/>
    </xf>
    <xf numFmtId="43" fontId="11" fillId="0" borderId="1" xfId="0" applyNumberFormat="1" applyFont="1" applyBorder="1"/>
    <xf numFmtId="0" fontId="11" fillId="0" borderId="0" xfId="0" applyFont="1"/>
    <xf numFmtId="43" fontId="12" fillId="0" borderId="1" xfId="1" applyFont="1" applyBorder="1" applyAlignment="1">
      <alignment horizontal="center" vertical="center" wrapText="1"/>
    </xf>
    <xf numFmtId="41" fontId="0" fillId="0" borderId="1" xfId="1" applyNumberFormat="1" applyFont="1" applyBorder="1" applyAlignment="1">
      <alignment wrapText="1"/>
    </xf>
    <xf numFmtId="43" fontId="6" fillId="0" borderId="1" xfId="1" applyFont="1" applyBorder="1" applyAlignment="1">
      <alignment wrapText="1"/>
    </xf>
    <xf numFmtId="41" fontId="6" fillId="0" borderId="1" xfId="1" applyNumberFormat="1" applyFont="1" applyBorder="1" applyAlignment="1">
      <alignment wrapText="1"/>
    </xf>
    <xf numFmtId="167" fontId="0" fillId="0" borderId="1" xfId="1" applyNumberFormat="1" applyFont="1" applyFill="1" applyBorder="1" applyAlignment="1">
      <alignment wrapText="1"/>
    </xf>
    <xf numFmtId="167" fontId="6" fillId="0" borderId="1" xfId="1" applyNumberFormat="1" applyFont="1" applyBorder="1" applyAlignment="1">
      <alignment wrapText="1"/>
    </xf>
    <xf numFmtId="0" fontId="0" fillId="0" borderId="1" xfId="0" applyBorder="1"/>
    <xf numFmtId="41" fontId="0" fillId="0" borderId="1" xfId="0" applyNumberFormat="1" applyBorder="1"/>
    <xf numFmtId="0" fontId="0" fillId="4" borderId="1" xfId="0" applyFill="1" applyBorder="1"/>
    <xf numFmtId="0" fontId="19" fillId="0" borderId="1" xfId="0" applyFont="1" applyBorder="1" applyAlignment="1" applyProtection="1">
      <alignment horizontal="center"/>
      <protection locked="0"/>
    </xf>
    <xf numFmtId="43" fontId="6" fillId="0" borderId="1" xfId="0" applyNumberFormat="1" applyFont="1" applyBorder="1"/>
    <xf numFmtId="0" fontId="6" fillId="0" borderId="0" xfId="0" applyFont="1"/>
    <xf numFmtId="0" fontId="6" fillId="0" borderId="1" xfId="0" applyFont="1" applyBorder="1"/>
    <xf numFmtId="43" fontId="0" fillId="0" borderId="0" xfId="0" applyNumberFormat="1"/>
    <xf numFmtId="0" fontId="15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4" fontId="21" fillId="0" borderId="0" xfId="3" applyFont="1" applyAlignment="1" applyProtection="1">
      <alignment horizontal="center" vertical="center" wrapText="1"/>
      <protection locked="0"/>
    </xf>
    <xf numFmtId="44" fontId="4" fillId="0" borderId="0" xfId="3" applyFont="1" applyFill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3" fontId="4" fillId="2" borderId="0" xfId="0" applyNumberFormat="1" applyFont="1" applyFill="1" applyAlignment="1" applyProtection="1">
      <alignment horizontal="center" vertical="center" wrapText="1"/>
      <protection locked="0"/>
    </xf>
    <xf numFmtId="1" fontId="4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3" fontId="15" fillId="7" borderId="0" xfId="0" applyNumberFormat="1" applyFont="1" applyFill="1" applyAlignment="1" applyProtection="1">
      <alignment horizontal="center" vertical="center" wrapText="1"/>
      <protection locked="0"/>
    </xf>
    <xf numFmtId="0" fontId="15" fillId="7" borderId="0" xfId="0" applyFont="1" applyFill="1" applyAlignment="1" applyProtection="1">
      <alignment horizontal="center" vertical="center" wrapText="1"/>
      <protection locked="0"/>
    </xf>
    <xf numFmtId="4" fontId="1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21" fillId="0" borderId="0" xfId="0" applyNumberFormat="1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3" fontId="15" fillId="0" borderId="1" xfId="3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2" borderId="1" xfId="2" applyNumberFormat="1" applyFont="1" applyFill="1" applyBorder="1" applyAlignment="1" applyProtection="1">
      <alignment horizontal="right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3" fontId="0" fillId="4" borderId="1" xfId="0" applyNumberFormat="1" applyFill="1" applyBorder="1"/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44" fontId="27" fillId="3" borderId="1" xfId="3" applyFont="1" applyFill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3" fontId="16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7" borderId="5" xfId="0" applyNumberFormat="1" applyFont="1" applyFill="1" applyBorder="1" applyAlignment="1" applyProtection="1">
      <alignment horizontal="center" vertical="center" wrapText="1"/>
      <protection locked="0"/>
    </xf>
    <xf numFmtId="3" fontId="16" fillId="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7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locked="0"/>
    </xf>
    <xf numFmtId="49" fontId="9" fillId="0" borderId="0" xfId="1" applyNumberFormat="1" applyFont="1" applyAlignment="1">
      <alignment horizontal="center" wrapText="1"/>
    </xf>
    <xf numFmtId="43" fontId="14" fillId="0" borderId="0" xfId="1" applyFont="1" applyAlignment="1">
      <alignment horizontal="center" wrapText="1"/>
    </xf>
  </cellXfs>
  <cellStyles count="6">
    <cellStyle name="Денежный" xfId="3" builtinId="4"/>
    <cellStyle name="Обычный" xfId="0" builtinId="0"/>
    <cellStyle name="Обычный 2" xfId="4"/>
    <cellStyle name="Обычный 2 2" xfId="5"/>
    <cellStyle name="Процентный" xfId="2" builtinId="5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19</xdr:row>
      <xdr:rowOff>228600</xdr:rowOff>
    </xdr:from>
    <xdr:to>
      <xdr:col>2</xdr:col>
      <xdr:colOff>0</xdr:colOff>
      <xdr:row>20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7A369C3-979C-42EB-AADB-BD397BB1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075" y="6057900"/>
          <a:ext cx="644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18</xdr:row>
      <xdr:rowOff>203200</xdr:rowOff>
    </xdr:from>
    <xdr:to>
      <xdr:col>1</xdr:col>
      <xdr:colOff>571500</xdr:colOff>
      <xdr:row>18</xdr:row>
      <xdr:rowOff>431800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E473EE33-51BE-4392-82AE-06E797A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675" y="5461000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11</xdr:row>
      <xdr:rowOff>187325</xdr:rowOff>
    </xdr:from>
    <xdr:to>
      <xdr:col>1</xdr:col>
      <xdr:colOff>342900</xdr:colOff>
      <xdr:row>11</xdr:row>
      <xdr:rowOff>390525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BF6CF181-6D05-49C8-9994-C96036D1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5" y="2873375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7</xdr:row>
      <xdr:rowOff>114300</xdr:rowOff>
    </xdr:from>
    <xdr:to>
      <xdr:col>1</xdr:col>
      <xdr:colOff>609600</xdr:colOff>
      <xdr:row>7</xdr:row>
      <xdr:rowOff>317500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3F1BC02B-FDAC-4CBE-8535-7CBDA0BD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81075"/>
          <a:ext cx="381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10</xdr:row>
      <xdr:rowOff>241300</xdr:rowOff>
    </xdr:from>
    <xdr:to>
      <xdr:col>1</xdr:col>
      <xdr:colOff>571500</xdr:colOff>
      <xdr:row>10</xdr:row>
      <xdr:rowOff>469900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AD841365-9AE7-4126-A433-46A0E458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675" y="2327275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8</xdr:row>
      <xdr:rowOff>215900</xdr:rowOff>
    </xdr:from>
    <xdr:to>
      <xdr:col>1</xdr:col>
      <xdr:colOff>596900</xdr:colOff>
      <xdr:row>8</xdr:row>
      <xdr:rowOff>431800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5E699FB-6EC5-4ADB-A6DB-23F36025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1520825"/>
          <a:ext cx="39370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9</xdr:row>
      <xdr:rowOff>139700</xdr:rowOff>
    </xdr:from>
    <xdr:to>
      <xdr:col>1</xdr:col>
      <xdr:colOff>584200</xdr:colOff>
      <xdr:row>9</xdr:row>
      <xdr:rowOff>393700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8257F9ED-D908-47A3-8D2F-52AF2ECB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1825625"/>
          <a:ext cx="381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="70" zoomScaleNormal="70" workbookViewId="0">
      <selection activeCell="S27" sqref="A1:S27"/>
    </sheetView>
  </sheetViews>
  <sheetFormatPr defaultColWidth="10.875" defaultRowHeight="15.75" x14ac:dyDescent="0.25"/>
  <cols>
    <col min="1" max="1" width="26.375" style="44" customWidth="1"/>
    <col min="2" max="2" width="11.625" style="44" customWidth="1"/>
    <col min="3" max="3" width="13.375" style="44" customWidth="1"/>
    <col min="4" max="4" width="11.5" style="44" customWidth="1"/>
    <col min="5" max="5" width="31.125" style="44" customWidth="1"/>
    <col min="6" max="6" width="12.375" style="44" bestFit="1" customWidth="1"/>
    <col min="7" max="7" width="14.875" style="44" customWidth="1"/>
    <col min="8" max="8" width="11.25" style="44" customWidth="1"/>
    <col min="9" max="9" width="21.375" style="44" customWidth="1"/>
    <col min="10" max="10" width="14.375" style="44" customWidth="1"/>
    <col min="11" max="11" width="19.25" style="44" customWidth="1"/>
    <col min="12" max="14" width="14.625" style="44" customWidth="1"/>
    <col min="15" max="17" width="16.875" style="44" customWidth="1"/>
    <col min="18" max="18" width="17" style="44" customWidth="1"/>
    <col min="19" max="19" width="31.5" style="44" customWidth="1"/>
    <col min="20" max="20" width="13.25" style="44" customWidth="1"/>
    <col min="21" max="16384" width="10.875" style="44"/>
  </cols>
  <sheetData>
    <row r="1" spans="1:20" ht="37.15" customHeight="1" x14ac:dyDescent="0.25">
      <c r="A1" s="78"/>
      <c r="B1" s="78"/>
      <c r="C1" s="78"/>
      <c r="D1" s="78"/>
      <c r="E1" s="78"/>
      <c r="F1" s="78"/>
      <c r="G1" s="93" t="s">
        <v>49</v>
      </c>
      <c r="H1" s="93"/>
      <c r="I1" s="94"/>
      <c r="J1" s="94"/>
      <c r="K1" s="93" t="s">
        <v>50</v>
      </c>
      <c r="L1" s="94"/>
      <c r="M1" s="94"/>
      <c r="N1" s="94"/>
      <c r="O1" s="96" t="s">
        <v>51</v>
      </c>
      <c r="P1" s="94"/>
      <c r="Q1" s="94"/>
      <c r="R1" s="94"/>
      <c r="S1" s="78"/>
      <c r="T1" s="78"/>
    </row>
    <row r="2" spans="1:20" ht="74.45" customHeight="1" x14ac:dyDescent="0.25">
      <c r="A2" s="96" t="s">
        <v>0</v>
      </c>
      <c r="B2" s="96"/>
      <c r="C2" s="106" t="s">
        <v>6</v>
      </c>
      <c r="D2" s="106"/>
      <c r="E2" s="106"/>
      <c r="F2" s="37">
        <v>36</v>
      </c>
      <c r="G2" s="45" t="s">
        <v>45</v>
      </c>
      <c r="H2" s="80">
        <v>216</v>
      </c>
      <c r="I2" s="90" t="s">
        <v>47</v>
      </c>
      <c r="J2" s="38">
        <v>10240</v>
      </c>
      <c r="K2" s="45" t="s">
        <v>45</v>
      </c>
      <c r="L2" s="80">
        <v>216</v>
      </c>
      <c r="M2" s="90" t="s">
        <v>47</v>
      </c>
      <c r="N2" s="38">
        <v>23880</v>
      </c>
      <c r="O2" s="45" t="s">
        <v>45</v>
      </c>
      <c r="P2" s="80">
        <v>0</v>
      </c>
      <c r="Q2" s="90" t="s">
        <v>47</v>
      </c>
      <c r="R2" s="38"/>
      <c r="S2" s="62" t="s">
        <v>67</v>
      </c>
      <c r="T2" s="39">
        <v>10240</v>
      </c>
    </row>
    <row r="3" spans="1:20" ht="94.9" customHeight="1" x14ac:dyDescent="0.25">
      <c r="A3" s="104" t="s">
        <v>104</v>
      </c>
      <c r="B3" s="104"/>
      <c r="C3" s="106" t="s">
        <v>61</v>
      </c>
      <c r="D3" s="106"/>
      <c r="E3" s="106"/>
      <c r="F3" s="37">
        <v>29</v>
      </c>
      <c r="G3" s="89" t="s">
        <v>46</v>
      </c>
      <c r="H3" s="85">
        <f>H2/F2*F3</f>
        <v>174</v>
      </c>
      <c r="I3" s="46" t="s">
        <v>48</v>
      </c>
      <c r="J3" s="86">
        <f>J2/F2*F3</f>
        <v>8249</v>
      </c>
      <c r="K3" s="89" t="s">
        <v>46</v>
      </c>
      <c r="L3" s="85">
        <f>L2/F2*F3</f>
        <v>174</v>
      </c>
      <c r="M3" s="46" t="s">
        <v>48</v>
      </c>
      <c r="N3" s="86">
        <f>N2/F2*F3</f>
        <v>19237</v>
      </c>
      <c r="O3" s="89" t="s">
        <v>46</v>
      </c>
      <c r="P3" s="85">
        <f>P2/F2*F3</f>
        <v>0</v>
      </c>
      <c r="Q3" s="46" t="s">
        <v>48</v>
      </c>
      <c r="R3" s="86">
        <f>R2/F2*F3</f>
        <v>0</v>
      </c>
      <c r="S3" s="62" t="s">
        <v>71</v>
      </c>
      <c r="T3" s="39">
        <v>23880</v>
      </c>
    </row>
    <row r="4" spans="1:20" ht="50.45" customHeight="1" x14ac:dyDescent="0.25">
      <c r="A4" s="108" t="s">
        <v>64</v>
      </c>
      <c r="B4" s="108"/>
      <c r="C4" s="108"/>
      <c r="D4" s="108"/>
      <c r="E4" s="71">
        <v>5597600</v>
      </c>
      <c r="F4" s="75"/>
      <c r="G4" s="97" t="s">
        <v>55</v>
      </c>
      <c r="H4" s="98"/>
      <c r="I4" s="107">
        <v>5120000</v>
      </c>
      <c r="J4" s="101"/>
      <c r="K4" s="97" t="s">
        <v>55</v>
      </c>
      <c r="L4" s="98"/>
      <c r="M4" s="101">
        <v>477600</v>
      </c>
      <c r="N4" s="101"/>
      <c r="O4" s="97" t="s">
        <v>55</v>
      </c>
      <c r="P4" s="98"/>
      <c r="Q4" s="102"/>
      <c r="R4" s="101"/>
      <c r="S4" s="62" t="s">
        <v>68</v>
      </c>
      <c r="T4" s="39">
        <v>0</v>
      </c>
    </row>
    <row r="5" spans="1:20" ht="51.75" customHeight="1" x14ac:dyDescent="0.25">
      <c r="A5" s="108" t="s">
        <v>65</v>
      </c>
      <c r="B5" s="108"/>
      <c r="C5" s="108"/>
      <c r="D5" s="108"/>
      <c r="E5" s="87">
        <f>(I4+M4+Q4)/F2*F3</f>
        <v>4509177.78</v>
      </c>
      <c r="F5" s="77"/>
      <c r="G5" s="99"/>
      <c r="H5" s="100"/>
      <c r="I5" s="77"/>
      <c r="K5" s="99"/>
      <c r="L5" s="100"/>
      <c r="O5" s="99"/>
      <c r="P5" s="100"/>
      <c r="Q5" s="47"/>
      <c r="R5" s="48"/>
      <c r="S5" s="48"/>
    </row>
    <row r="6" spans="1:20" ht="87" customHeight="1" x14ac:dyDescent="0.25">
      <c r="A6" s="109" t="s">
        <v>66</v>
      </c>
      <c r="B6" s="109"/>
      <c r="C6" s="109"/>
      <c r="D6" s="109"/>
      <c r="E6" s="88">
        <f>(I4+M4+Q4)-E5</f>
        <v>1088422.22</v>
      </c>
      <c r="F6" s="77"/>
      <c r="G6" s="77"/>
      <c r="H6" s="77"/>
      <c r="I6" s="77"/>
      <c r="M6" s="95" t="s">
        <v>69</v>
      </c>
      <c r="N6" s="95"/>
      <c r="O6" s="95"/>
      <c r="P6" s="95"/>
      <c r="Q6" s="95"/>
      <c r="R6" s="95"/>
      <c r="S6" s="48"/>
    </row>
    <row r="7" spans="1:20" ht="33.75" customHeight="1" x14ac:dyDescent="0.25">
      <c r="A7" s="103" t="s">
        <v>23</v>
      </c>
      <c r="B7" s="103"/>
      <c r="C7" s="40">
        <v>48812</v>
      </c>
      <c r="D7" s="49"/>
      <c r="F7" s="105"/>
      <c r="G7" s="105"/>
      <c r="H7" s="105"/>
      <c r="I7" s="105"/>
      <c r="J7" s="105"/>
      <c r="K7" s="105"/>
      <c r="L7" s="76"/>
      <c r="M7" s="95" t="s">
        <v>52</v>
      </c>
      <c r="N7" s="122">
        <f>'Стандартные программы'!M35+'Дистанционные программы'!M39+'Очно-заочные программы'!M39+'Адаптированные программы'!M39</f>
        <v>82656</v>
      </c>
      <c r="O7" s="95" t="s">
        <v>53</v>
      </c>
      <c r="P7" s="122">
        <f>'Стандартные программы'!S35+'Дистанционные программы'!S39+'Очно-заочные программы'!S39+'Адаптированные программы'!S39</f>
        <v>66584</v>
      </c>
      <c r="Q7" s="95" t="s">
        <v>54</v>
      </c>
      <c r="R7" s="122">
        <f>'Стандартные программы'!Q35+'Дистанционные программы'!Q39+'Очно-заочные программы'!Q39+'Адаптированные программы'!Q39</f>
        <v>16072</v>
      </c>
      <c r="S7" s="76"/>
    </row>
    <row r="8" spans="1:20" ht="46.15" customHeight="1" x14ac:dyDescent="0.25">
      <c r="A8" s="62" t="s">
        <v>8</v>
      </c>
      <c r="B8" s="63"/>
      <c r="C8" s="41">
        <v>0.4</v>
      </c>
      <c r="D8" s="50"/>
      <c r="E8" s="51" t="s">
        <v>7</v>
      </c>
      <c r="F8" s="79" t="s">
        <v>1</v>
      </c>
      <c r="G8" s="79" t="s">
        <v>2</v>
      </c>
      <c r="H8" s="79" t="s">
        <v>3</v>
      </c>
      <c r="I8" s="79" t="s">
        <v>4</v>
      </c>
      <c r="J8" s="79" t="s">
        <v>5</v>
      </c>
      <c r="K8" s="79" t="s">
        <v>33</v>
      </c>
      <c r="L8" s="52"/>
      <c r="M8" s="113"/>
      <c r="N8" s="122"/>
      <c r="O8" s="113"/>
      <c r="P8" s="122"/>
      <c r="Q8" s="113"/>
      <c r="R8" s="122"/>
      <c r="S8" s="53" t="str">
        <f>IF(R7+P7=N7,"ВЕРНО",FALSE)</f>
        <v>ВЕРНО</v>
      </c>
    </row>
    <row r="9" spans="1:20" ht="45" customHeight="1" x14ac:dyDescent="0.25">
      <c r="A9" s="62" t="s">
        <v>10</v>
      </c>
      <c r="B9" s="63"/>
      <c r="C9" s="38">
        <v>1500</v>
      </c>
      <c r="D9" s="50"/>
      <c r="E9" s="62" t="s">
        <v>62</v>
      </c>
      <c r="F9" s="38">
        <v>48</v>
      </c>
      <c r="G9" s="38">
        <v>50</v>
      </c>
      <c r="H9" s="38">
        <v>54</v>
      </c>
      <c r="I9" s="38">
        <v>60</v>
      </c>
      <c r="J9" s="38">
        <v>50</v>
      </c>
      <c r="K9" s="38">
        <v>50</v>
      </c>
      <c r="L9" s="54"/>
      <c r="M9" s="69"/>
      <c r="N9" s="69"/>
      <c r="O9" s="70"/>
      <c r="P9" s="70"/>
      <c r="Q9" s="70"/>
      <c r="R9" s="70"/>
      <c r="S9" s="53"/>
    </row>
    <row r="10" spans="1:20" ht="34.5" customHeight="1" x14ac:dyDescent="0.25">
      <c r="A10" s="62" t="s">
        <v>12</v>
      </c>
      <c r="B10" s="63"/>
      <c r="C10" s="38">
        <v>2600</v>
      </c>
      <c r="D10" s="50"/>
      <c r="E10" s="62" t="s">
        <v>63</v>
      </c>
      <c r="F10" s="38">
        <v>156</v>
      </c>
      <c r="G10" s="38">
        <v>144</v>
      </c>
      <c r="H10" s="38">
        <v>144</v>
      </c>
      <c r="I10" s="38">
        <v>144</v>
      </c>
      <c r="J10" s="38">
        <v>167</v>
      </c>
      <c r="K10" s="38">
        <v>144</v>
      </c>
      <c r="L10" s="54"/>
      <c r="M10" s="114" t="s">
        <v>70</v>
      </c>
      <c r="N10" s="115"/>
      <c r="O10" s="115"/>
      <c r="P10" s="115"/>
      <c r="Q10" s="115"/>
      <c r="R10" s="116"/>
      <c r="S10" s="53"/>
    </row>
    <row r="11" spans="1:20" ht="57.75" customHeight="1" x14ac:dyDescent="0.25">
      <c r="A11" s="62" t="s">
        <v>14</v>
      </c>
      <c r="B11" s="63"/>
      <c r="C11" s="41">
        <v>20.23</v>
      </c>
      <c r="E11" s="66" t="s">
        <v>9</v>
      </c>
      <c r="F11" s="42">
        <v>8</v>
      </c>
      <c r="G11" s="42">
        <v>8</v>
      </c>
      <c r="H11" s="42">
        <v>8</v>
      </c>
      <c r="I11" s="42">
        <v>10</v>
      </c>
      <c r="J11" s="42">
        <v>8</v>
      </c>
      <c r="K11" s="42">
        <v>10</v>
      </c>
      <c r="L11" s="55"/>
      <c r="M11" s="117"/>
      <c r="N11" s="118"/>
      <c r="O11" s="118"/>
      <c r="P11" s="118"/>
      <c r="Q11" s="118"/>
      <c r="R11" s="119"/>
      <c r="S11" s="53"/>
    </row>
    <row r="12" spans="1:20" ht="48" customHeight="1" x14ac:dyDescent="0.25">
      <c r="A12" s="62" t="s">
        <v>16</v>
      </c>
      <c r="B12" s="63"/>
      <c r="C12" s="43"/>
      <c r="E12" s="66" t="s">
        <v>11</v>
      </c>
      <c r="F12" s="42">
        <v>12</v>
      </c>
      <c r="G12" s="42">
        <v>12</v>
      </c>
      <c r="H12" s="42">
        <v>12</v>
      </c>
      <c r="I12" s="42">
        <v>15</v>
      </c>
      <c r="J12" s="42">
        <v>15</v>
      </c>
      <c r="K12" s="42">
        <v>10</v>
      </c>
      <c r="L12" s="55"/>
      <c r="M12" s="111" t="s">
        <v>52</v>
      </c>
      <c r="N12" s="120">
        <f>'Стандартные программы'!L35+'Дистанционные программы'!L39+'Очно-заочные программы'!L39+'Адаптированные программы'!L39</f>
        <v>5034324.96</v>
      </c>
      <c r="O12" s="111" t="s">
        <v>53</v>
      </c>
      <c r="P12" s="120">
        <f>'Стандартные программы'!R35+'Дистанционные программы'!R39+'Очно-заочные программы'!R39+'Адаптированные программы'!R39</f>
        <v>4055428.44</v>
      </c>
      <c r="Q12" s="111" t="s">
        <v>54</v>
      </c>
      <c r="R12" s="120">
        <f>'Стандартные программы'!P35+'Дистанционные программы'!P39+'Очно-заочные программы'!P39+'Адаптированные программы'!P39</f>
        <v>978896.52</v>
      </c>
      <c r="S12" s="53"/>
    </row>
    <row r="13" spans="1:20" ht="31.9" customHeight="1" x14ac:dyDescent="0.25">
      <c r="A13" s="64" t="s">
        <v>1</v>
      </c>
      <c r="B13" s="62"/>
      <c r="C13" s="38">
        <v>60000</v>
      </c>
      <c r="E13" s="67" t="s">
        <v>13</v>
      </c>
      <c r="F13" s="81">
        <f>SUM(F14:F18)</f>
        <v>164.76</v>
      </c>
      <c r="G13" s="81">
        <f t="shared" ref="G13:K13" si="0">SUM(G14:G18)</f>
        <v>170.51</v>
      </c>
      <c r="H13" s="81">
        <f t="shared" si="0"/>
        <v>159.43</v>
      </c>
      <c r="I13" s="81">
        <f t="shared" si="0"/>
        <v>145.44999999999999</v>
      </c>
      <c r="J13" s="81">
        <f t="shared" si="0"/>
        <v>149.82</v>
      </c>
      <c r="K13" s="81">
        <f t="shared" si="0"/>
        <v>170.51</v>
      </c>
      <c r="L13" s="56"/>
      <c r="M13" s="112"/>
      <c r="N13" s="121"/>
      <c r="O13" s="112"/>
      <c r="P13" s="121"/>
      <c r="Q13" s="112"/>
      <c r="R13" s="121"/>
      <c r="S13" s="53" t="str">
        <f>IF(P12+R12=N12,"ВЕРНО",FALSE)</f>
        <v>ВЕРНО</v>
      </c>
    </row>
    <row r="14" spans="1:20" ht="31.5" customHeight="1" x14ac:dyDescent="0.25">
      <c r="A14" s="64" t="s">
        <v>2</v>
      </c>
      <c r="B14" s="62"/>
      <c r="C14" s="38">
        <v>60000</v>
      </c>
      <c r="E14" s="62" t="s">
        <v>15</v>
      </c>
      <c r="F14" s="82">
        <f t="shared" ref="F14:K14" si="1">$C$7*12*1.302/F9/F10</f>
        <v>101.85</v>
      </c>
      <c r="G14" s="82">
        <f t="shared" si="1"/>
        <v>105.92</v>
      </c>
      <c r="H14" s="82">
        <f t="shared" si="1"/>
        <v>98.08</v>
      </c>
      <c r="I14" s="82">
        <f t="shared" si="1"/>
        <v>88.27</v>
      </c>
      <c r="J14" s="82">
        <f t="shared" si="1"/>
        <v>91.33</v>
      </c>
      <c r="K14" s="82">
        <f t="shared" si="1"/>
        <v>105.92</v>
      </c>
      <c r="L14" s="57"/>
      <c r="M14" s="57"/>
      <c r="N14" s="57"/>
    </row>
    <row r="15" spans="1:20" ht="30.75" customHeight="1" x14ac:dyDescent="0.25">
      <c r="A15" s="64" t="s">
        <v>3</v>
      </c>
      <c r="B15" s="62"/>
      <c r="C15" s="38">
        <v>60000</v>
      </c>
      <c r="E15" s="62" t="s">
        <v>17</v>
      </c>
      <c r="F15" s="82">
        <f t="shared" ref="F15:K15" si="2">F14*$C$8</f>
        <v>40.74</v>
      </c>
      <c r="G15" s="82">
        <f t="shared" si="2"/>
        <v>42.37</v>
      </c>
      <c r="H15" s="82">
        <f t="shared" si="2"/>
        <v>39.229999999999997</v>
      </c>
      <c r="I15" s="82">
        <f t="shared" si="2"/>
        <v>35.31</v>
      </c>
      <c r="J15" s="82">
        <f t="shared" si="2"/>
        <v>36.53</v>
      </c>
      <c r="K15" s="82">
        <f t="shared" si="2"/>
        <v>42.37</v>
      </c>
      <c r="L15" s="57"/>
      <c r="M15" s="57"/>
      <c r="N15" s="57"/>
    </row>
    <row r="16" spans="1:20" ht="38.25" customHeight="1" x14ac:dyDescent="0.25">
      <c r="A16" s="64" t="s">
        <v>4</v>
      </c>
      <c r="B16" s="62"/>
      <c r="C16" s="38">
        <v>60000</v>
      </c>
      <c r="E16" s="62" t="s">
        <v>18</v>
      </c>
      <c r="F16" s="83">
        <f>($C$9*14)/3/F9/F10+$C$10/F9/F10</f>
        <v>1.28</v>
      </c>
      <c r="G16" s="83">
        <f t="shared" ref="G16:K16" si="3">($C$9*14)/3/G9/G10+$C$10/G9/G10</f>
        <v>1.33</v>
      </c>
      <c r="H16" s="83">
        <f t="shared" si="3"/>
        <v>1.23</v>
      </c>
      <c r="I16" s="83">
        <f t="shared" si="3"/>
        <v>1.1100000000000001</v>
      </c>
      <c r="J16" s="83">
        <f t="shared" si="3"/>
        <v>1.1499999999999999</v>
      </c>
      <c r="K16" s="83">
        <f t="shared" si="3"/>
        <v>1.33</v>
      </c>
      <c r="L16" s="58"/>
      <c r="M16" s="58"/>
      <c r="N16" s="58"/>
    </row>
    <row r="17" spans="1:14" ht="41.25" customHeight="1" x14ac:dyDescent="0.25">
      <c r="A17" s="64" t="s">
        <v>5</v>
      </c>
      <c r="B17" s="62"/>
      <c r="C17" s="38">
        <v>60000</v>
      </c>
      <c r="E17" s="62" t="s">
        <v>19</v>
      </c>
      <c r="F17" s="82">
        <f t="shared" ref="F17:K17" si="4">((VLOOKUP(F8,$A$13:$C$18,3,FALSE))/7/$C$19/(AVERAGE(F11,F12)))+(($C$20*0.5)/5/$C$19)</f>
        <v>0.66</v>
      </c>
      <c r="G17" s="82">
        <f t="shared" si="4"/>
        <v>0.66</v>
      </c>
      <c r="H17" s="82">
        <f t="shared" si="4"/>
        <v>0.66</v>
      </c>
      <c r="I17" s="82">
        <f t="shared" si="4"/>
        <v>0.53</v>
      </c>
      <c r="J17" s="82">
        <f t="shared" si="4"/>
        <v>0.57999999999999996</v>
      </c>
      <c r="K17" s="82">
        <f t="shared" si="4"/>
        <v>0.66</v>
      </c>
      <c r="L17" s="57"/>
      <c r="M17" s="57"/>
      <c r="N17" s="57"/>
    </row>
    <row r="18" spans="1:14" ht="31.5" x14ac:dyDescent="0.25">
      <c r="A18" s="65" t="s">
        <v>33</v>
      </c>
      <c r="B18" s="62"/>
      <c r="C18" s="38">
        <v>60000</v>
      </c>
      <c r="E18" s="62" t="s">
        <v>20</v>
      </c>
      <c r="F18" s="82">
        <f t="shared" ref="F18:K18" si="5">$C$11</f>
        <v>20.23</v>
      </c>
      <c r="G18" s="82">
        <f t="shared" si="5"/>
        <v>20.23</v>
      </c>
      <c r="H18" s="82">
        <f t="shared" si="5"/>
        <v>20.23</v>
      </c>
      <c r="I18" s="82">
        <f t="shared" si="5"/>
        <v>20.23</v>
      </c>
      <c r="J18" s="82">
        <f t="shared" si="5"/>
        <v>20.23</v>
      </c>
      <c r="K18" s="82">
        <f t="shared" si="5"/>
        <v>20.23</v>
      </c>
      <c r="L18" s="57"/>
      <c r="M18" s="57"/>
      <c r="N18" s="57"/>
    </row>
    <row r="19" spans="1:14" ht="55.5" customHeight="1" x14ac:dyDescent="0.25">
      <c r="A19" s="62" t="s">
        <v>21</v>
      </c>
      <c r="B19" s="63"/>
      <c r="C19" s="38">
        <v>1296</v>
      </c>
      <c r="E19" s="68" t="s">
        <v>32</v>
      </c>
      <c r="F19" s="84">
        <f>F9/(F11+F12)*2*(F10/36)</f>
        <v>20.8</v>
      </c>
      <c r="G19" s="84">
        <f t="shared" ref="G19:K19" si="6">G9/(G11+G12)*2*(G10/36)</f>
        <v>20</v>
      </c>
      <c r="H19" s="84">
        <f t="shared" si="6"/>
        <v>21.6</v>
      </c>
      <c r="I19" s="84">
        <f t="shared" si="6"/>
        <v>19.2</v>
      </c>
      <c r="J19" s="84">
        <f t="shared" si="6"/>
        <v>20.1690821256039</v>
      </c>
      <c r="K19" s="84">
        <f t="shared" si="6"/>
        <v>20</v>
      </c>
      <c r="L19" s="59"/>
      <c r="M19" s="59"/>
      <c r="N19" s="59"/>
    </row>
    <row r="20" spans="1:14" ht="31.5" x14ac:dyDescent="0.25">
      <c r="A20" s="62" t="s">
        <v>22</v>
      </c>
      <c r="B20" s="63"/>
      <c r="C20" s="41">
        <v>0</v>
      </c>
      <c r="H20" s="57"/>
      <c r="I20" s="57"/>
      <c r="J20" s="57"/>
      <c r="K20" s="57"/>
      <c r="L20" s="57"/>
      <c r="M20" s="57"/>
      <c r="N20" s="57"/>
    </row>
    <row r="21" spans="1:14" ht="21" customHeight="1" x14ac:dyDescent="0.25">
      <c r="E21" s="105" t="s">
        <v>39</v>
      </c>
      <c r="F21" s="105"/>
      <c r="G21" s="105"/>
      <c r="H21" s="105"/>
      <c r="I21" s="105"/>
      <c r="J21" s="105"/>
      <c r="K21" s="105"/>
      <c r="L21" s="76"/>
      <c r="M21" s="76"/>
      <c r="N21" s="76"/>
    </row>
    <row r="22" spans="1:14" ht="29.25" customHeight="1" x14ac:dyDescent="0.25">
      <c r="E22" s="110" t="s">
        <v>40</v>
      </c>
      <c r="F22" s="110"/>
      <c r="G22" s="60">
        <v>1</v>
      </c>
    </row>
    <row r="23" spans="1:14" ht="29.25" customHeight="1" x14ac:dyDescent="0.25">
      <c r="E23" s="110" t="s">
        <v>41</v>
      </c>
      <c r="F23" s="110"/>
      <c r="G23" s="60">
        <v>1</v>
      </c>
    </row>
    <row r="24" spans="1:14" ht="29.25" customHeight="1" x14ac:dyDescent="0.25">
      <c r="E24" s="110" t="s">
        <v>42</v>
      </c>
      <c r="F24" s="110"/>
      <c r="G24" s="60">
        <v>1</v>
      </c>
    </row>
    <row r="25" spans="1:14" x14ac:dyDescent="0.25">
      <c r="E25" s="98" t="s">
        <v>44</v>
      </c>
      <c r="F25" s="98"/>
      <c r="G25" s="61"/>
    </row>
  </sheetData>
  <sheetProtection sheet="1" objects="1" scenarios="1" formatCells="0" formatColumns="0" formatRows="0"/>
  <mergeCells count="40">
    <mergeCell ref="M12:M13"/>
    <mergeCell ref="M7:M8"/>
    <mergeCell ref="M10:R11"/>
    <mergeCell ref="R12:R13"/>
    <mergeCell ref="R7:R8"/>
    <mergeCell ref="N12:N13"/>
    <mergeCell ref="O12:O13"/>
    <mergeCell ref="P12:P13"/>
    <mergeCell ref="Q12:Q13"/>
    <mergeCell ref="O7:O8"/>
    <mergeCell ref="P7:P8"/>
    <mergeCell ref="Q7:Q8"/>
    <mergeCell ref="N7:N8"/>
    <mergeCell ref="E25:F25"/>
    <mergeCell ref="E23:F23"/>
    <mergeCell ref="E24:F24"/>
    <mergeCell ref="E21:K21"/>
    <mergeCell ref="E22:F22"/>
    <mergeCell ref="A7:B7"/>
    <mergeCell ref="A2:B2"/>
    <mergeCell ref="A3:B3"/>
    <mergeCell ref="F7:K7"/>
    <mergeCell ref="C3:E3"/>
    <mergeCell ref="C2:E2"/>
    <mergeCell ref="G4:H4"/>
    <mergeCell ref="G5:H5"/>
    <mergeCell ref="K4:L4"/>
    <mergeCell ref="K5:L5"/>
    <mergeCell ref="I4:J4"/>
    <mergeCell ref="A4:D4"/>
    <mergeCell ref="A5:D5"/>
    <mergeCell ref="A6:D6"/>
    <mergeCell ref="G1:J1"/>
    <mergeCell ref="K1:N1"/>
    <mergeCell ref="M6:R6"/>
    <mergeCell ref="O1:R1"/>
    <mergeCell ref="O4:P4"/>
    <mergeCell ref="O5:P5"/>
    <mergeCell ref="M4:N4"/>
    <mergeCell ref="Q4:R4"/>
  </mergeCells>
  <pageMargins left="0.19" right="0.19" top="0.23" bottom="0.32" header="0.25" footer="0.31496062992125984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zoomScale="65" zoomScaleNormal="65" workbookViewId="0"/>
  </sheetViews>
  <sheetFormatPr defaultColWidth="11" defaultRowHeight="15.75" x14ac:dyDescent="0.25"/>
  <cols>
    <col min="1" max="1" width="23.875" style="8" customWidth="1"/>
    <col min="2" max="2" width="34.5" style="8" customWidth="1"/>
    <col min="3" max="3" width="24.125" style="8" customWidth="1"/>
    <col min="4" max="4" width="11.5" style="8" customWidth="1"/>
    <col min="5" max="5" width="15" style="8" customWidth="1"/>
    <col min="6" max="6" width="12.125" style="9" customWidth="1"/>
    <col min="7" max="7" width="11.5" style="9" customWidth="1"/>
    <col min="8" max="8" width="12.5" style="10" customWidth="1"/>
    <col min="9" max="9" width="10.625" style="7" customWidth="1"/>
    <col min="10" max="10" width="11.125" style="7" customWidth="1"/>
    <col min="11" max="11" width="15.625" customWidth="1"/>
    <col min="12" max="12" width="13.875" style="7" customWidth="1"/>
    <col min="13" max="13" width="16.125" style="7" customWidth="1"/>
    <col min="14" max="14" width="17.75" style="22" customWidth="1"/>
    <col min="15" max="15" width="16.25" customWidth="1"/>
    <col min="16" max="16" width="16" customWidth="1"/>
    <col min="17" max="17" width="20.25" customWidth="1"/>
    <col min="18" max="18" width="14.75" customWidth="1"/>
    <col min="19" max="19" width="17" customWidth="1"/>
  </cols>
  <sheetData>
    <row r="1" spans="1:19" s="73" customFormat="1" ht="105.75" customHeight="1" x14ac:dyDescent="0.25">
      <c r="A1" s="11" t="s">
        <v>24</v>
      </c>
      <c r="B1" s="11" t="s">
        <v>25</v>
      </c>
      <c r="C1" s="11" t="s">
        <v>7</v>
      </c>
      <c r="D1" s="12" t="s">
        <v>6</v>
      </c>
      <c r="E1" s="12" t="s">
        <v>35</v>
      </c>
      <c r="F1" s="12" t="s">
        <v>29</v>
      </c>
      <c r="G1" s="12" t="s">
        <v>26</v>
      </c>
      <c r="H1" s="13" t="s">
        <v>30</v>
      </c>
      <c r="I1" s="14" t="s">
        <v>27</v>
      </c>
      <c r="J1" s="14" t="s">
        <v>36</v>
      </c>
      <c r="K1" s="23" t="s">
        <v>37</v>
      </c>
      <c r="L1" s="14" t="s">
        <v>31</v>
      </c>
      <c r="M1" s="14" t="s">
        <v>34</v>
      </c>
      <c r="N1" s="20" t="s">
        <v>38</v>
      </c>
      <c r="O1" s="72" t="s">
        <v>56</v>
      </c>
      <c r="P1" s="14" t="s">
        <v>57</v>
      </c>
      <c r="Q1" s="14" t="s">
        <v>58</v>
      </c>
      <c r="R1" s="14" t="s">
        <v>59</v>
      </c>
      <c r="S1" s="14" t="s">
        <v>60</v>
      </c>
    </row>
    <row r="2" spans="1:19" x14ac:dyDescent="0.25">
      <c r="A2" s="1" t="s">
        <v>72</v>
      </c>
      <c r="B2" s="1" t="s">
        <v>73</v>
      </c>
      <c r="C2" s="1" t="s">
        <v>33</v>
      </c>
      <c r="D2" s="16">
        <v>36</v>
      </c>
      <c r="E2" s="16">
        <v>20</v>
      </c>
      <c r="F2" s="17">
        <v>4</v>
      </c>
      <c r="G2" s="17">
        <v>10</v>
      </c>
      <c r="H2" s="18">
        <v>128</v>
      </c>
      <c r="I2" s="2">
        <f>HLOOKUP($C2,'Параметры ПФ'!$F$8:$K$13,6,FALSE)</f>
        <v>170.51</v>
      </c>
      <c r="J2" s="2">
        <f>IF(H2=0,I2*F2*E2,IF(I2&gt;H2,H2*F2*E2,I2*F2*E2))</f>
        <v>10240</v>
      </c>
      <c r="K2" s="3">
        <f>IF(J2&lt;'Параметры ПФ'!T$2+0.01,'Стандартные программы'!J2,ROUNDDOWN('Параметры ПФ'!T$2/IF(H2=0,I2,IF(I2&gt;H2,H2,I2)),0)*IF(H2=0,I2,IF(I2&gt;H2,H2,I2)))</f>
        <v>10240</v>
      </c>
      <c r="L2" s="2">
        <f t="shared" ref="L2:L25" si="0">K2*G2</f>
        <v>102400</v>
      </c>
      <c r="M2" s="24">
        <f>IF(J2&lt;'Параметры ПФ'!T$2+0.01,E2*F2*G2,ROUNDDOWN('Параметры ПФ'!T$2/IF(H2=0,I2,IF(I2&gt;H2,H2,I2)),0)*G2)</f>
        <v>800</v>
      </c>
      <c r="N2" s="21">
        <f>IF(H2=0,I2*F2*E2,IF(I2&gt;H2,H2*F2*E2,I2*F2*E2))-K2</f>
        <v>0</v>
      </c>
      <c r="O2" s="31">
        <v>7</v>
      </c>
      <c r="P2" s="3">
        <f>L2/E2*O2</f>
        <v>35840</v>
      </c>
      <c r="Q2" s="30">
        <f>M2/E2*O2</f>
        <v>280</v>
      </c>
      <c r="R2" s="3">
        <f>IF(O2=0,L2,L2-P2)</f>
        <v>66560</v>
      </c>
      <c r="S2" s="30">
        <f>IF(O2=0,M2,M2-Q2)</f>
        <v>520</v>
      </c>
    </row>
    <row r="3" spans="1:19" x14ac:dyDescent="0.25">
      <c r="A3" s="1" t="s">
        <v>72</v>
      </c>
      <c r="B3" s="1" t="s">
        <v>73</v>
      </c>
      <c r="C3" s="1" t="s">
        <v>33</v>
      </c>
      <c r="D3" s="16">
        <v>36</v>
      </c>
      <c r="E3" s="16">
        <v>16</v>
      </c>
      <c r="F3" s="17">
        <v>4</v>
      </c>
      <c r="G3" s="17">
        <v>10</v>
      </c>
      <c r="H3" s="18">
        <v>128</v>
      </c>
      <c r="I3" s="2">
        <f>HLOOKUP($C3,'Параметры ПФ'!$F$8:$K$13,6,FALSE)</f>
        <v>170.51</v>
      </c>
      <c r="J3" s="2">
        <f t="shared" ref="J3:J23" si="1">IF(H3=0,I3*F3*E3,IF(I3&gt;H3,H3*F3*E3,I3*F3*E3))</f>
        <v>8192</v>
      </c>
      <c r="K3" s="3">
        <f>IF(J3&lt;'Параметры ПФ'!T$2+0.01,'Стандартные программы'!J3,ROUNDDOWN('Параметры ПФ'!T$2/IF(H3=0,I3,IF(I3&gt;H3,H3,I3)),0)*IF(H3=0,I3,IF(I3&gt;H3,H3,I3)))</f>
        <v>8192</v>
      </c>
      <c r="L3" s="2">
        <f t="shared" si="0"/>
        <v>81920</v>
      </c>
      <c r="M3" s="24">
        <f>IF(J3&lt;'Параметры ПФ'!T$2+0.01,E3*F3*G3,ROUNDDOWN('Параметры ПФ'!T$2/IF(H3=0,I3,IF(I3&gt;H3,H3,I3)),0)*G3)</f>
        <v>640</v>
      </c>
      <c r="N3" s="21">
        <f t="shared" ref="N3:N24" si="2">IF(H3=0,I3*F3*E3,IF(I3&gt;H3,H3*F3*E3,I3*F3*E3))-K3</f>
        <v>0</v>
      </c>
      <c r="O3" s="92">
        <v>0</v>
      </c>
      <c r="P3" s="3">
        <f t="shared" ref="P3:P34" si="3">L3/E3*O3</f>
        <v>0</v>
      </c>
      <c r="Q3" s="30">
        <f t="shared" ref="Q3:Q34" si="4">M3/E3*O3</f>
        <v>0</v>
      </c>
      <c r="R3" s="3">
        <f t="shared" ref="R3:R34" si="5">IF(O3=0,L3,L3-P3)</f>
        <v>81920</v>
      </c>
      <c r="S3" s="30">
        <f t="shared" ref="S3:S34" si="6">IF(O3=0,M3,M3-Q3)</f>
        <v>640</v>
      </c>
    </row>
    <row r="4" spans="1:19" x14ac:dyDescent="0.25">
      <c r="A4" s="1" t="s">
        <v>72</v>
      </c>
      <c r="B4" s="1" t="s">
        <v>74</v>
      </c>
      <c r="C4" s="1" t="s">
        <v>4</v>
      </c>
      <c r="D4" s="16">
        <v>36</v>
      </c>
      <c r="E4" s="16">
        <v>36</v>
      </c>
      <c r="F4" s="17">
        <v>4</v>
      </c>
      <c r="G4" s="17">
        <v>0</v>
      </c>
      <c r="H4" s="18">
        <v>71.11</v>
      </c>
      <c r="I4" s="2">
        <f>HLOOKUP($C4,'Параметры ПФ'!$F$8:$K$13,6,FALSE)</f>
        <v>145.44999999999999</v>
      </c>
      <c r="J4" s="2">
        <f t="shared" si="1"/>
        <v>10239.84</v>
      </c>
      <c r="K4" s="3">
        <f>IF(J4&lt;'Параметры ПФ'!T$2+0.01,'Стандартные программы'!J4,ROUNDDOWN('Параметры ПФ'!T$2/IF(H4=0,I4,IF(I4&gt;H4,H4,I4)),0)*IF(H4=0,I4,IF(I4&gt;H4,H4,I4)))</f>
        <v>10239.84</v>
      </c>
      <c r="L4" s="2">
        <f t="shared" si="0"/>
        <v>0</v>
      </c>
      <c r="M4" s="24">
        <f>IF(J4&lt;'Параметры ПФ'!T$2+0.01,E4*F4*G4,ROUNDDOWN('Параметры ПФ'!T$2/IF(H4=0,I4,IF(I4&gt;H4,H4,I4)),0)*G4)</f>
        <v>0</v>
      </c>
      <c r="N4" s="21">
        <f t="shared" si="2"/>
        <v>0</v>
      </c>
      <c r="O4" s="31">
        <v>7</v>
      </c>
      <c r="P4" s="3">
        <f>L4/E4*O4</f>
        <v>0</v>
      </c>
      <c r="Q4" s="30">
        <f t="shared" si="4"/>
        <v>0</v>
      </c>
      <c r="R4" s="3">
        <f t="shared" si="5"/>
        <v>0</v>
      </c>
      <c r="S4" s="30">
        <f t="shared" si="6"/>
        <v>0</v>
      </c>
    </row>
    <row r="5" spans="1:19" x14ac:dyDescent="0.25">
      <c r="A5" s="1" t="s">
        <v>72</v>
      </c>
      <c r="B5" s="1" t="s">
        <v>75</v>
      </c>
      <c r="C5" s="1" t="s">
        <v>4</v>
      </c>
      <c r="D5" s="16">
        <v>36</v>
      </c>
      <c r="E5" s="16">
        <v>36</v>
      </c>
      <c r="F5" s="17">
        <v>2</v>
      </c>
      <c r="G5" s="17">
        <v>10</v>
      </c>
      <c r="H5" s="18">
        <v>71.11</v>
      </c>
      <c r="I5" s="2">
        <f>HLOOKUP($C5,'Параметры ПФ'!$F$8:$K$13,6,FALSE)</f>
        <v>145.44999999999999</v>
      </c>
      <c r="J5" s="2">
        <f t="shared" si="1"/>
        <v>5119.92</v>
      </c>
      <c r="K5" s="3">
        <f>IF(J5&lt;'Параметры ПФ'!T$2+0.01,'Стандартные программы'!J5,ROUNDDOWN('Параметры ПФ'!T$2/IF(H5=0,I5,IF(I5&gt;H5,H5,I5)),0)*IF(H5=0,I5,IF(I5&gt;H5,H5,I5)))</f>
        <v>5119.92</v>
      </c>
      <c r="L5" s="2">
        <f t="shared" si="0"/>
        <v>51199.199999999997</v>
      </c>
      <c r="M5" s="24">
        <f>IF(J5&lt;'Параметры ПФ'!T$2+0.01,E5*F5*G5,ROUNDDOWN('Параметры ПФ'!T$2/IF(H5=0,I5,IF(I5&gt;H5,H5,I5)),0)*G5)</f>
        <v>720</v>
      </c>
      <c r="N5" s="21">
        <f t="shared" si="2"/>
        <v>0</v>
      </c>
      <c r="O5" s="31">
        <v>7</v>
      </c>
      <c r="P5" s="3">
        <f t="shared" si="3"/>
        <v>9955.4</v>
      </c>
      <c r="Q5" s="30">
        <f t="shared" si="4"/>
        <v>140</v>
      </c>
      <c r="R5" s="3">
        <f t="shared" si="5"/>
        <v>41243.800000000003</v>
      </c>
      <c r="S5" s="30">
        <f t="shared" si="6"/>
        <v>580</v>
      </c>
    </row>
    <row r="6" spans="1:19" x14ac:dyDescent="0.25">
      <c r="A6" s="1" t="s">
        <v>72</v>
      </c>
      <c r="B6" s="1" t="s">
        <v>76</v>
      </c>
      <c r="C6" s="1" t="s">
        <v>3</v>
      </c>
      <c r="D6" s="16">
        <v>36</v>
      </c>
      <c r="E6" s="16">
        <v>36</v>
      </c>
      <c r="F6" s="17">
        <v>2</v>
      </c>
      <c r="G6" s="17">
        <v>16</v>
      </c>
      <c r="H6" s="18">
        <v>71.11</v>
      </c>
      <c r="I6" s="2">
        <f>HLOOKUP($C6,'Параметры ПФ'!$F$8:$K$13,6,FALSE)</f>
        <v>159.43</v>
      </c>
      <c r="J6" s="2">
        <f t="shared" si="1"/>
        <v>5119.92</v>
      </c>
      <c r="K6" s="3">
        <f>IF(J6&lt;'Параметры ПФ'!T$2+0.01,'Стандартные программы'!J6,ROUNDDOWN('Параметры ПФ'!T$2/IF(H6=0,I6,IF(I6&gt;H6,H6,I6)),0)*IF(H6=0,I6,IF(I6&gt;H6,H6,I6)))</f>
        <v>5119.92</v>
      </c>
      <c r="L6" s="2">
        <f t="shared" si="0"/>
        <v>81918.720000000001</v>
      </c>
      <c r="M6" s="24">
        <f>IF(J6&lt;'Параметры ПФ'!T$2+0.01,E6*F6*G6,ROUNDDOWN('Параметры ПФ'!T$2/IF(H6=0,I6,IF(I6&gt;H6,H6,I6)),0)*G6)</f>
        <v>1152</v>
      </c>
      <c r="N6" s="21">
        <f t="shared" si="2"/>
        <v>0</v>
      </c>
      <c r="O6" s="31">
        <v>7</v>
      </c>
      <c r="P6" s="3">
        <f t="shared" si="3"/>
        <v>15928.64</v>
      </c>
      <c r="Q6" s="30">
        <f t="shared" si="4"/>
        <v>224</v>
      </c>
      <c r="R6" s="3">
        <f t="shared" si="5"/>
        <v>65990.080000000002</v>
      </c>
      <c r="S6" s="30">
        <f t="shared" si="6"/>
        <v>928</v>
      </c>
    </row>
    <row r="7" spans="1:19" x14ac:dyDescent="0.25">
      <c r="A7" s="1" t="s">
        <v>72</v>
      </c>
      <c r="B7" s="1" t="s">
        <v>77</v>
      </c>
      <c r="C7" s="1" t="s">
        <v>3</v>
      </c>
      <c r="D7" s="16">
        <v>36</v>
      </c>
      <c r="E7" s="16">
        <v>36</v>
      </c>
      <c r="F7" s="17">
        <v>4</v>
      </c>
      <c r="G7" s="17">
        <v>20</v>
      </c>
      <c r="H7" s="18">
        <v>71.11</v>
      </c>
      <c r="I7" s="2">
        <f>HLOOKUP($C7,'Параметры ПФ'!$F$8:$K$13,6,FALSE)</f>
        <v>159.43</v>
      </c>
      <c r="J7" s="2">
        <f t="shared" si="1"/>
        <v>10239.84</v>
      </c>
      <c r="K7" s="3">
        <f>IF(J7&lt;'Параметры ПФ'!T$2+0.01,'Стандартные программы'!J7,ROUNDDOWN('Параметры ПФ'!T$2/IF(H7=0,I7,IF(I7&gt;H7,H7,I7)),0)*IF(H7=0,I7,IF(I7&gt;H7,H7,I7)))</f>
        <v>10239.84</v>
      </c>
      <c r="L7" s="2">
        <f t="shared" si="0"/>
        <v>204796.79999999999</v>
      </c>
      <c r="M7" s="24">
        <f>IF(J7&lt;'Параметры ПФ'!T$2+0.01,E7*F7*G7,ROUNDDOWN('Параметры ПФ'!T$2/IF(H7=0,I7,IF(I7&gt;H7,H7,I7)),0)*G7)</f>
        <v>2880</v>
      </c>
      <c r="N7" s="21">
        <f t="shared" si="2"/>
        <v>0</v>
      </c>
      <c r="O7" s="31">
        <v>7</v>
      </c>
      <c r="P7" s="3">
        <f t="shared" si="3"/>
        <v>39821.599999999999</v>
      </c>
      <c r="Q7" s="30">
        <f t="shared" si="4"/>
        <v>560</v>
      </c>
      <c r="R7" s="3">
        <f t="shared" si="5"/>
        <v>164975.20000000001</v>
      </c>
      <c r="S7" s="30">
        <f t="shared" si="6"/>
        <v>2320</v>
      </c>
    </row>
    <row r="8" spans="1:19" x14ac:dyDescent="0.25">
      <c r="A8" s="1" t="s">
        <v>72</v>
      </c>
      <c r="B8" s="1" t="s">
        <v>78</v>
      </c>
      <c r="C8" s="1" t="s">
        <v>3</v>
      </c>
      <c r="D8" s="16">
        <v>36</v>
      </c>
      <c r="E8" s="16">
        <v>36</v>
      </c>
      <c r="F8" s="17">
        <v>4</v>
      </c>
      <c r="G8" s="17">
        <v>30</v>
      </c>
      <c r="H8" s="18">
        <v>71.11</v>
      </c>
      <c r="I8" s="2">
        <f>HLOOKUP($C8,'Параметры ПФ'!$F$8:$K$13,6,FALSE)</f>
        <v>159.43</v>
      </c>
      <c r="J8" s="2">
        <f t="shared" si="1"/>
        <v>10239.84</v>
      </c>
      <c r="K8" s="3">
        <f>IF(J8&lt;'Параметры ПФ'!T$2+0.01,'Стандартные программы'!J8,ROUNDDOWN('Параметры ПФ'!T$2/IF(H8=0,I8,IF(I8&gt;H8,H8,I8)),0)*IF(H8=0,I8,IF(I8&gt;H8,H8,I8)))</f>
        <v>10239.84</v>
      </c>
      <c r="L8" s="2">
        <f t="shared" si="0"/>
        <v>307195.2</v>
      </c>
      <c r="M8" s="24">
        <f>IF(J8&lt;'Параметры ПФ'!T$2+0.01,E8*F8*G8,ROUNDDOWN('Параметры ПФ'!T$2/IF(H8=0,I8,IF(I8&gt;H8,H8,I8)),0)*G8)</f>
        <v>4320</v>
      </c>
      <c r="N8" s="21">
        <f t="shared" si="2"/>
        <v>0</v>
      </c>
      <c r="O8" s="31">
        <v>7</v>
      </c>
      <c r="P8" s="3">
        <f t="shared" si="3"/>
        <v>59732.4</v>
      </c>
      <c r="Q8" s="30">
        <f t="shared" si="4"/>
        <v>840</v>
      </c>
      <c r="R8" s="3">
        <f t="shared" si="5"/>
        <v>247462.8</v>
      </c>
      <c r="S8" s="30">
        <f t="shared" si="6"/>
        <v>3480</v>
      </c>
    </row>
    <row r="9" spans="1:19" x14ac:dyDescent="0.25">
      <c r="A9" s="1" t="s">
        <v>72</v>
      </c>
      <c r="B9" s="1" t="s">
        <v>79</v>
      </c>
      <c r="C9" s="1" t="s">
        <v>3</v>
      </c>
      <c r="D9" s="16">
        <v>36</v>
      </c>
      <c r="E9" s="16">
        <v>36</v>
      </c>
      <c r="F9" s="17">
        <v>4</v>
      </c>
      <c r="G9" s="17">
        <v>20</v>
      </c>
      <c r="H9" s="18">
        <v>71.11</v>
      </c>
      <c r="I9" s="2">
        <f>HLOOKUP($C9,'Параметры ПФ'!$F$8:$K$13,6,FALSE)</f>
        <v>159.43</v>
      </c>
      <c r="J9" s="2">
        <f t="shared" si="1"/>
        <v>10239.84</v>
      </c>
      <c r="K9" s="3">
        <f>IF(J9&lt;'Параметры ПФ'!T$2+0.01,'Стандартные программы'!J9,ROUNDDOWN('Параметры ПФ'!T$2/IF(H9=0,I9,IF(I9&gt;H9,H9,I9)),0)*IF(H9=0,I9,IF(I9&gt;H9,H9,I9)))</f>
        <v>10239.84</v>
      </c>
      <c r="L9" s="2">
        <f t="shared" si="0"/>
        <v>204796.79999999999</v>
      </c>
      <c r="M9" s="24">
        <f>IF(J9&lt;'Параметры ПФ'!T$2+0.01,E9*F9*G9,ROUNDDOWN('Параметры ПФ'!T$2/IF(H9=0,I9,IF(I9&gt;H9,H9,I9)),0)*G9)</f>
        <v>2880</v>
      </c>
      <c r="N9" s="21">
        <f t="shared" si="2"/>
        <v>0</v>
      </c>
      <c r="O9" s="31">
        <v>7</v>
      </c>
      <c r="P9" s="3">
        <f t="shared" si="3"/>
        <v>39821.599999999999</v>
      </c>
      <c r="Q9" s="30">
        <f t="shared" si="4"/>
        <v>560</v>
      </c>
      <c r="R9" s="3">
        <f t="shared" si="5"/>
        <v>164975.20000000001</v>
      </c>
      <c r="S9" s="30">
        <f t="shared" si="6"/>
        <v>2320</v>
      </c>
    </row>
    <row r="10" spans="1:19" x14ac:dyDescent="0.25">
      <c r="A10" s="1" t="s">
        <v>72</v>
      </c>
      <c r="B10" s="1" t="s">
        <v>80</v>
      </c>
      <c r="C10" s="1" t="s">
        <v>3</v>
      </c>
      <c r="D10" s="16">
        <v>36</v>
      </c>
      <c r="E10" s="16">
        <v>36</v>
      </c>
      <c r="F10" s="17">
        <v>4</v>
      </c>
      <c r="G10" s="17">
        <v>10</v>
      </c>
      <c r="H10" s="18">
        <v>71.11</v>
      </c>
      <c r="I10" s="2">
        <f>HLOOKUP($C10,'Параметры ПФ'!$F$8:$K$13,6,FALSE)</f>
        <v>159.43</v>
      </c>
      <c r="J10" s="2">
        <f t="shared" si="1"/>
        <v>10239.84</v>
      </c>
      <c r="K10" s="3">
        <f>IF(J10&lt;'Параметры ПФ'!T$2+0.01,'Стандартные программы'!J10,ROUNDDOWN('Параметры ПФ'!T$2/IF(H10=0,I10,IF(I10&gt;H10,H10,I10)),0)*IF(H10=0,I10,IF(I10&gt;H10,H10,I10)))</f>
        <v>10239.84</v>
      </c>
      <c r="L10" s="2">
        <f t="shared" si="0"/>
        <v>102398.39999999999</v>
      </c>
      <c r="M10" s="24">
        <f>IF(J10&lt;'Параметры ПФ'!T$2+0.01,E10*F10*G10,ROUNDDOWN('Параметры ПФ'!T$2/IF(H10=0,I10,IF(I10&gt;H10,H10,I10)),0)*G10)</f>
        <v>1440</v>
      </c>
      <c r="N10" s="21">
        <f t="shared" si="2"/>
        <v>0</v>
      </c>
      <c r="O10" s="31">
        <v>7</v>
      </c>
      <c r="P10" s="3">
        <f t="shared" si="3"/>
        <v>19910.8</v>
      </c>
      <c r="Q10" s="30">
        <f t="shared" si="4"/>
        <v>280</v>
      </c>
      <c r="R10" s="3">
        <f t="shared" si="5"/>
        <v>82487.600000000006</v>
      </c>
      <c r="S10" s="30">
        <f t="shared" si="6"/>
        <v>1160</v>
      </c>
    </row>
    <row r="11" spans="1:19" x14ac:dyDescent="0.25">
      <c r="A11" s="1" t="s">
        <v>72</v>
      </c>
      <c r="B11" s="1" t="s">
        <v>81</v>
      </c>
      <c r="C11" s="1" t="s">
        <v>3</v>
      </c>
      <c r="D11" s="16">
        <v>36</v>
      </c>
      <c r="E11" s="16">
        <v>36</v>
      </c>
      <c r="F11" s="17">
        <v>4</v>
      </c>
      <c r="G11" s="17">
        <v>10</v>
      </c>
      <c r="H11" s="18">
        <v>71.11</v>
      </c>
      <c r="I11" s="2">
        <f>HLOOKUP($C11,'Параметры ПФ'!$F$8:$K$13,6,FALSE)</f>
        <v>159.43</v>
      </c>
      <c r="J11" s="2">
        <f t="shared" si="1"/>
        <v>10239.84</v>
      </c>
      <c r="K11" s="3">
        <f>IF(J11&lt;'Параметры ПФ'!T$2+0.01,'Стандартные программы'!J11,ROUNDDOWN('Параметры ПФ'!T$2/IF(H11=0,I11,IF(I11&gt;H11,H11,I11)),0)*IF(H11=0,I11,IF(I11&gt;H11,H11,I11)))</f>
        <v>10239.84</v>
      </c>
      <c r="L11" s="2">
        <f t="shared" si="0"/>
        <v>102398.39999999999</v>
      </c>
      <c r="M11" s="24">
        <f>IF(J11&lt;'Параметры ПФ'!T$2+0.01,E11*F11*G11,ROUNDDOWN('Параметры ПФ'!T$2/IF(H11=0,I11,IF(I11&gt;H11,H11,I11)),0)*G11)</f>
        <v>1440</v>
      </c>
      <c r="N11" s="21">
        <f t="shared" si="2"/>
        <v>0</v>
      </c>
      <c r="O11" s="31">
        <v>7</v>
      </c>
      <c r="P11" s="3">
        <f t="shared" si="3"/>
        <v>19910.8</v>
      </c>
      <c r="Q11" s="30">
        <f t="shared" si="4"/>
        <v>280</v>
      </c>
      <c r="R11" s="3">
        <f t="shared" si="5"/>
        <v>82487.600000000006</v>
      </c>
      <c r="S11" s="30">
        <f t="shared" si="6"/>
        <v>1160</v>
      </c>
    </row>
    <row r="12" spans="1:19" x14ac:dyDescent="0.25">
      <c r="A12" s="1" t="s">
        <v>72</v>
      </c>
      <c r="B12" s="1" t="s">
        <v>82</v>
      </c>
      <c r="C12" s="1" t="s">
        <v>3</v>
      </c>
      <c r="D12" s="16">
        <v>36</v>
      </c>
      <c r="E12" s="16">
        <v>36</v>
      </c>
      <c r="F12" s="17">
        <v>4</v>
      </c>
      <c r="G12" s="17">
        <v>40</v>
      </c>
      <c r="H12" s="18">
        <v>71.11</v>
      </c>
      <c r="I12" s="2">
        <f>HLOOKUP($C12,'Параметры ПФ'!$F$8:$K$13,6,FALSE)</f>
        <v>159.43</v>
      </c>
      <c r="J12" s="2">
        <f t="shared" si="1"/>
        <v>10239.84</v>
      </c>
      <c r="K12" s="3">
        <f>IF(J12&lt;'Параметры ПФ'!T$2+0.01,'Стандартные программы'!J12,ROUNDDOWN('Параметры ПФ'!T$2/IF(H12=0,I12,IF(I12&gt;H12,H12,I12)),0)*IF(H12=0,I12,IF(I12&gt;H12,H12,I12)))</f>
        <v>10239.84</v>
      </c>
      <c r="L12" s="2">
        <f t="shared" si="0"/>
        <v>409593.59999999998</v>
      </c>
      <c r="M12" s="24">
        <f>IF(J12&lt;'Параметры ПФ'!T$2+0.01,E12*F12*G12,ROUNDDOWN('Параметры ПФ'!T$2/IF(H12=0,I12,IF(I12&gt;H12,H12,I12)),0)*G12)</f>
        <v>5760</v>
      </c>
      <c r="N12" s="21">
        <f t="shared" si="2"/>
        <v>0</v>
      </c>
      <c r="O12" s="31">
        <v>7</v>
      </c>
      <c r="P12" s="3">
        <f t="shared" si="3"/>
        <v>79643.199999999997</v>
      </c>
      <c r="Q12" s="30">
        <f t="shared" si="4"/>
        <v>1120</v>
      </c>
      <c r="R12" s="3">
        <f t="shared" si="5"/>
        <v>329950.40000000002</v>
      </c>
      <c r="S12" s="30">
        <f t="shared" si="6"/>
        <v>4640</v>
      </c>
    </row>
    <row r="13" spans="1:19" x14ac:dyDescent="0.25">
      <c r="A13" s="1" t="s">
        <v>72</v>
      </c>
      <c r="B13" s="1" t="s">
        <v>83</v>
      </c>
      <c r="C13" s="1" t="s">
        <v>3</v>
      </c>
      <c r="D13" s="16">
        <v>36</v>
      </c>
      <c r="E13" s="16">
        <v>20</v>
      </c>
      <c r="F13" s="17">
        <v>4</v>
      </c>
      <c r="G13" s="17">
        <v>8</v>
      </c>
      <c r="H13" s="18">
        <v>71.11</v>
      </c>
      <c r="I13" s="2">
        <f>HLOOKUP($C13,'Параметры ПФ'!$F$8:$K$13,6,FALSE)</f>
        <v>159.43</v>
      </c>
      <c r="J13" s="2">
        <f t="shared" si="1"/>
        <v>5688.8</v>
      </c>
      <c r="K13" s="3">
        <f>IF(J13&lt;'Параметры ПФ'!T$2+0.01,'Стандартные программы'!J13,ROUNDDOWN('Параметры ПФ'!T$2/IF(H13=0,I13,IF(I13&gt;H13,H13,I13)),0)*IF(H13=0,I13,IF(I13&gt;H13,H13,I13)))</f>
        <v>5688.8</v>
      </c>
      <c r="L13" s="2">
        <f t="shared" si="0"/>
        <v>45510.400000000001</v>
      </c>
      <c r="M13" s="24">
        <f>IF(J13&lt;'Параметры ПФ'!T$2+0.01,E13*F13*G13,ROUNDDOWN('Параметры ПФ'!T$2/IF(H13=0,I13,IF(I13&gt;H13,H13,I13)),0)*G13)</f>
        <v>640</v>
      </c>
      <c r="N13" s="21">
        <f t="shared" si="2"/>
        <v>0</v>
      </c>
      <c r="O13" s="31">
        <v>7</v>
      </c>
      <c r="P13" s="3">
        <f t="shared" si="3"/>
        <v>15928.64</v>
      </c>
      <c r="Q13" s="30">
        <f t="shared" si="4"/>
        <v>224</v>
      </c>
      <c r="R13" s="3">
        <f t="shared" si="5"/>
        <v>29581.759999999998</v>
      </c>
      <c r="S13" s="30">
        <f t="shared" si="6"/>
        <v>416</v>
      </c>
    </row>
    <row r="14" spans="1:19" x14ac:dyDescent="0.25">
      <c r="A14" s="1" t="s">
        <v>72</v>
      </c>
      <c r="B14" s="1" t="s">
        <v>83</v>
      </c>
      <c r="C14" s="1" t="s">
        <v>3</v>
      </c>
      <c r="D14" s="16">
        <v>36</v>
      </c>
      <c r="E14" s="16">
        <v>16</v>
      </c>
      <c r="F14" s="17">
        <v>4</v>
      </c>
      <c r="G14" s="17">
        <v>8</v>
      </c>
      <c r="H14" s="18">
        <v>71.11</v>
      </c>
      <c r="I14" s="2">
        <f>HLOOKUP($C14,'Параметры ПФ'!$F$8:$K$13,6,FALSE)</f>
        <v>159.43</v>
      </c>
      <c r="J14" s="2">
        <f t="shared" si="1"/>
        <v>4551.04</v>
      </c>
      <c r="K14" s="3">
        <f>IF(J14&lt;'Параметры ПФ'!T$2+0.01,'Стандартные программы'!J14,ROUNDDOWN('Параметры ПФ'!T$2/IF(H14=0,I14,IF(I14&gt;H14,H14,I14)),0)*IF(H14=0,I14,IF(I14&gt;H14,H14,I14)))</f>
        <v>4551.04</v>
      </c>
      <c r="L14" s="2">
        <f t="shared" si="0"/>
        <v>36408.32</v>
      </c>
      <c r="M14" s="24">
        <f>IF(J14&lt;'Параметры ПФ'!T$2+0.01,E14*F14*G14,ROUNDDOWN('Параметры ПФ'!T$2/IF(H14=0,I14,IF(I14&gt;H14,H14,I14)),0)*G14)</f>
        <v>512</v>
      </c>
      <c r="N14" s="21">
        <f t="shared" si="2"/>
        <v>0</v>
      </c>
      <c r="O14" s="31">
        <v>0</v>
      </c>
      <c r="P14" s="3">
        <f t="shared" si="3"/>
        <v>0</v>
      </c>
      <c r="Q14" s="30">
        <f t="shared" si="4"/>
        <v>0</v>
      </c>
      <c r="R14" s="3">
        <f t="shared" si="5"/>
        <v>36408.32</v>
      </c>
      <c r="S14" s="30">
        <f t="shared" si="6"/>
        <v>512</v>
      </c>
    </row>
    <row r="15" spans="1:19" ht="31.5" x14ac:dyDescent="0.25">
      <c r="A15" s="1" t="s">
        <v>72</v>
      </c>
      <c r="B15" s="91" t="s">
        <v>84</v>
      </c>
      <c r="C15" s="1" t="s">
        <v>1</v>
      </c>
      <c r="D15" s="16">
        <v>36</v>
      </c>
      <c r="E15" s="16">
        <v>20</v>
      </c>
      <c r="F15" s="17">
        <v>4</v>
      </c>
      <c r="G15" s="17">
        <v>10</v>
      </c>
      <c r="H15" s="18">
        <v>71.11</v>
      </c>
      <c r="I15" s="2">
        <f>HLOOKUP($C15,'Параметры ПФ'!$F$8:$K$13,6,FALSE)</f>
        <v>164.76</v>
      </c>
      <c r="J15" s="2">
        <f t="shared" si="1"/>
        <v>5688.8</v>
      </c>
      <c r="K15" s="3">
        <f>IF(J15&lt;'Параметры ПФ'!T$2+0.01,'Стандартные программы'!J15,ROUNDDOWN('Параметры ПФ'!T$2/IF(H15=0,I15,IF(I15&gt;H15,H15,I15)),0)*IF(H15=0,I15,IF(I15&gt;H15,H15,I15)))</f>
        <v>5688.8</v>
      </c>
      <c r="L15" s="2">
        <f t="shared" si="0"/>
        <v>56888</v>
      </c>
      <c r="M15" s="24">
        <f>IF(J15&lt;'Параметры ПФ'!T$2+0.01,E15*F15*G15,ROUNDDOWN('Параметры ПФ'!T$2/IF(H15=0,I15,IF(I15&gt;H15,H15,I15)),0)*G15)</f>
        <v>800</v>
      </c>
      <c r="N15" s="21">
        <f t="shared" si="2"/>
        <v>0</v>
      </c>
      <c r="O15" s="31">
        <v>7</v>
      </c>
      <c r="P15" s="3">
        <f t="shared" si="3"/>
        <v>19910.8</v>
      </c>
      <c r="Q15" s="30">
        <f t="shared" si="4"/>
        <v>280</v>
      </c>
      <c r="R15" s="3">
        <f t="shared" si="5"/>
        <v>36977.199999999997</v>
      </c>
      <c r="S15" s="30">
        <f t="shared" si="6"/>
        <v>520</v>
      </c>
    </row>
    <row r="16" spans="1:19" ht="31.5" x14ac:dyDescent="0.25">
      <c r="A16" s="1" t="s">
        <v>72</v>
      </c>
      <c r="B16" s="91" t="s">
        <v>84</v>
      </c>
      <c r="C16" s="1" t="s">
        <v>1</v>
      </c>
      <c r="D16" s="16">
        <v>36</v>
      </c>
      <c r="E16" s="16">
        <v>16</v>
      </c>
      <c r="F16" s="17">
        <v>4</v>
      </c>
      <c r="G16" s="17">
        <v>10</v>
      </c>
      <c r="H16" s="18">
        <v>71.11</v>
      </c>
      <c r="I16" s="2">
        <f>HLOOKUP($C16,'Параметры ПФ'!$F$8:$K$13,6,FALSE)</f>
        <v>164.76</v>
      </c>
      <c r="J16" s="2">
        <f t="shared" si="1"/>
        <v>4551.04</v>
      </c>
      <c r="K16" s="3">
        <f>IF(J16&lt;'Параметры ПФ'!T$2+0.01,'Стандартные программы'!J16,ROUNDDOWN('Параметры ПФ'!T$2/IF(H16=0,I16,IF(I16&gt;H16,H16,I16)),0)*IF(H16=0,I16,IF(I16&gt;H16,H16,I16)))</f>
        <v>4551.04</v>
      </c>
      <c r="L16" s="2">
        <f t="shared" si="0"/>
        <v>45510.400000000001</v>
      </c>
      <c r="M16" s="24">
        <f>IF(J16&lt;'Параметры ПФ'!T$2+0.01,E16*F16*G16,ROUNDDOWN('Параметры ПФ'!T$2/IF(H16=0,I16,IF(I16&gt;H16,H16,I16)),0)*G16)</f>
        <v>640</v>
      </c>
      <c r="N16" s="21">
        <f t="shared" si="2"/>
        <v>0</v>
      </c>
      <c r="O16" s="31">
        <v>0</v>
      </c>
      <c r="P16" s="3">
        <f t="shared" si="3"/>
        <v>0</v>
      </c>
      <c r="Q16" s="30">
        <f t="shared" si="4"/>
        <v>0</v>
      </c>
      <c r="R16" s="3">
        <f t="shared" si="5"/>
        <v>45510.400000000001</v>
      </c>
      <c r="S16" s="30">
        <f t="shared" si="6"/>
        <v>640</v>
      </c>
    </row>
    <row r="17" spans="1:19" ht="31.5" x14ac:dyDescent="0.25">
      <c r="A17" s="1" t="s">
        <v>72</v>
      </c>
      <c r="B17" s="91" t="s">
        <v>85</v>
      </c>
      <c r="C17" s="1" t="s">
        <v>1</v>
      </c>
      <c r="D17" s="16">
        <v>36</v>
      </c>
      <c r="E17" s="16">
        <v>20</v>
      </c>
      <c r="F17" s="17">
        <v>4</v>
      </c>
      <c r="G17" s="17">
        <v>10</v>
      </c>
      <c r="H17" s="18">
        <v>71.11</v>
      </c>
      <c r="I17" s="2">
        <f>HLOOKUP($C17,'Параметры ПФ'!$F$8:$K$13,6,FALSE)</f>
        <v>164.76</v>
      </c>
      <c r="J17" s="2">
        <f t="shared" si="1"/>
        <v>5688.8</v>
      </c>
      <c r="K17" s="3">
        <f>IF(J17&lt;'Параметры ПФ'!T$2+0.01,'Стандартные программы'!J17,ROUNDDOWN('Параметры ПФ'!T$2/IF(H17=0,I17,IF(I17&gt;H17,H17,I17)),0)*IF(H17=0,I17,IF(I17&gt;H17,H17,I17)))</f>
        <v>5688.8</v>
      </c>
      <c r="L17" s="2">
        <f t="shared" si="0"/>
        <v>56888</v>
      </c>
      <c r="M17" s="24">
        <f>IF(J17&lt;'Параметры ПФ'!T$2+0.01,E17*F17*G17,ROUNDDOWN('Параметры ПФ'!T$2/IF(H17=0,I17,IF(I17&gt;H17,H17,I17)),0)*G17)</f>
        <v>800</v>
      </c>
      <c r="N17" s="21">
        <f t="shared" si="2"/>
        <v>0</v>
      </c>
      <c r="O17" s="31">
        <v>7</v>
      </c>
      <c r="P17" s="3">
        <f t="shared" si="3"/>
        <v>19910.8</v>
      </c>
      <c r="Q17" s="30">
        <f t="shared" si="4"/>
        <v>280</v>
      </c>
      <c r="R17" s="3">
        <f t="shared" si="5"/>
        <v>36977.199999999997</v>
      </c>
      <c r="S17" s="30">
        <f t="shared" si="6"/>
        <v>520</v>
      </c>
    </row>
    <row r="18" spans="1:19" x14ac:dyDescent="0.25">
      <c r="A18" s="1" t="s">
        <v>72</v>
      </c>
      <c r="B18" s="91" t="s">
        <v>86</v>
      </c>
      <c r="C18" s="1" t="s">
        <v>1</v>
      </c>
      <c r="D18" s="16">
        <v>36</v>
      </c>
      <c r="E18" s="16">
        <v>16</v>
      </c>
      <c r="F18" s="17">
        <v>4</v>
      </c>
      <c r="G18" s="17">
        <v>10</v>
      </c>
      <c r="H18" s="18">
        <v>71.11</v>
      </c>
      <c r="I18" s="2">
        <f>HLOOKUP($C18,'Параметры ПФ'!$F$8:$K$13,6,FALSE)</f>
        <v>164.76</v>
      </c>
      <c r="J18" s="2">
        <f t="shared" si="1"/>
        <v>4551.04</v>
      </c>
      <c r="K18" s="3">
        <f>IF(J18&lt;'Параметры ПФ'!T$2+0.01,'Стандартные программы'!J18,ROUNDDOWN('Параметры ПФ'!T$2/IF(H18=0,I18,IF(I18&gt;H18,H18,I18)),0)*IF(H18=0,I18,IF(I18&gt;H18,H18,I18)))</f>
        <v>4551.04</v>
      </c>
      <c r="L18" s="2">
        <f t="shared" si="0"/>
        <v>45510.400000000001</v>
      </c>
      <c r="M18" s="24">
        <f>IF(J18&lt;'Параметры ПФ'!T$2+0.01,E18*F18*G18,ROUNDDOWN('Параметры ПФ'!T$2/IF(H18=0,I18,IF(I18&gt;H18,H18,I18)),0)*G18)</f>
        <v>640</v>
      </c>
      <c r="N18" s="21">
        <f t="shared" si="2"/>
        <v>0</v>
      </c>
      <c r="O18" s="31">
        <v>0</v>
      </c>
      <c r="P18" s="3">
        <f t="shared" si="3"/>
        <v>0</v>
      </c>
      <c r="Q18" s="30">
        <f t="shared" si="4"/>
        <v>0</v>
      </c>
      <c r="R18" s="3">
        <f t="shared" si="5"/>
        <v>45510.400000000001</v>
      </c>
      <c r="S18" s="30">
        <f t="shared" si="6"/>
        <v>640</v>
      </c>
    </row>
    <row r="19" spans="1:19" x14ac:dyDescent="0.25">
      <c r="A19" s="1" t="s">
        <v>72</v>
      </c>
      <c r="B19" s="1" t="s">
        <v>87</v>
      </c>
      <c r="C19" s="1" t="s">
        <v>1</v>
      </c>
      <c r="D19" s="16">
        <v>36</v>
      </c>
      <c r="E19" s="16">
        <v>36</v>
      </c>
      <c r="F19" s="17">
        <v>4</v>
      </c>
      <c r="G19" s="17">
        <v>16</v>
      </c>
      <c r="H19" s="18">
        <v>71.11</v>
      </c>
      <c r="I19" s="2">
        <f>HLOOKUP($C19,'Параметры ПФ'!$F$8:$K$13,6,FALSE)</f>
        <v>164.76</v>
      </c>
      <c r="J19" s="2">
        <f t="shared" si="1"/>
        <v>10239.84</v>
      </c>
      <c r="K19" s="3">
        <f>IF(J19&lt;'Параметры ПФ'!T$2+0.01,'Стандартные программы'!J19,ROUNDDOWN('Параметры ПФ'!T$2/IF(H19=0,I19,IF(I19&gt;H19,H19,I19)),0)*IF(H19=0,I19,IF(I19&gt;H19,H19,I19)))</f>
        <v>10239.84</v>
      </c>
      <c r="L19" s="2">
        <f t="shared" si="0"/>
        <v>163837.44</v>
      </c>
      <c r="M19" s="24">
        <f>IF(J19&lt;'Параметры ПФ'!T$2+0.01,E19*F19*G19,ROUNDDOWN('Параметры ПФ'!T$2/IF(H19=0,I19,IF(I19&gt;H19,H19,I19)),0)*G19)</f>
        <v>2304</v>
      </c>
      <c r="N19" s="21">
        <f t="shared" si="2"/>
        <v>0</v>
      </c>
      <c r="O19" s="31">
        <v>7</v>
      </c>
      <c r="P19" s="3">
        <f t="shared" si="3"/>
        <v>31857.279999999999</v>
      </c>
      <c r="Q19" s="30">
        <f t="shared" si="4"/>
        <v>448</v>
      </c>
      <c r="R19" s="3">
        <f t="shared" si="5"/>
        <v>131980.16</v>
      </c>
      <c r="S19" s="30">
        <f t="shared" si="6"/>
        <v>1856</v>
      </c>
    </row>
    <row r="20" spans="1:19" ht="47.25" x14ac:dyDescent="0.25">
      <c r="A20" s="1" t="s">
        <v>72</v>
      </c>
      <c r="B20" s="91" t="s">
        <v>88</v>
      </c>
      <c r="C20" s="1" t="s">
        <v>1</v>
      </c>
      <c r="D20" s="16">
        <v>36</v>
      </c>
      <c r="E20" s="16">
        <v>36</v>
      </c>
      <c r="F20" s="17">
        <v>4</v>
      </c>
      <c r="G20" s="17">
        <v>56</v>
      </c>
      <c r="H20" s="18">
        <v>71.11</v>
      </c>
      <c r="I20" s="2">
        <f>HLOOKUP($C20,'Параметры ПФ'!$F$8:$K$13,6,FALSE)</f>
        <v>164.76</v>
      </c>
      <c r="J20" s="2">
        <f t="shared" si="1"/>
        <v>10239.84</v>
      </c>
      <c r="K20" s="3">
        <f>IF(J20&lt;'Параметры ПФ'!T$2+0.01,'Стандартные программы'!J20,ROUNDDOWN('Параметры ПФ'!T$2/IF(H20=0,I20,IF(I20&gt;H20,H20,I20)),0)*IF(H20=0,I20,IF(I20&gt;H20,H20,I20)))</f>
        <v>10239.84</v>
      </c>
      <c r="L20" s="2">
        <f t="shared" si="0"/>
        <v>573431.04000000004</v>
      </c>
      <c r="M20" s="24">
        <f>IF(J20&lt;'Параметры ПФ'!T$2+0.01,E20*F20*G20,ROUNDDOWN('Параметры ПФ'!T$2/IF(H20=0,I20,IF(I20&gt;H20,H20,I20)),0)*G20)</f>
        <v>8064</v>
      </c>
      <c r="N20" s="21">
        <f t="shared" si="2"/>
        <v>0</v>
      </c>
      <c r="O20" s="31">
        <v>7</v>
      </c>
      <c r="P20" s="3">
        <f t="shared" si="3"/>
        <v>111500.48</v>
      </c>
      <c r="Q20" s="30">
        <f t="shared" si="4"/>
        <v>1568</v>
      </c>
      <c r="R20" s="3">
        <f t="shared" si="5"/>
        <v>461930.56</v>
      </c>
      <c r="S20" s="30">
        <f t="shared" si="6"/>
        <v>6496</v>
      </c>
    </row>
    <row r="21" spans="1:19" x14ac:dyDescent="0.25">
      <c r="A21" s="1" t="s">
        <v>72</v>
      </c>
      <c r="B21" s="1" t="s">
        <v>89</v>
      </c>
      <c r="C21" s="1" t="s">
        <v>1</v>
      </c>
      <c r="D21" s="16">
        <v>36</v>
      </c>
      <c r="E21" s="16">
        <v>36</v>
      </c>
      <c r="F21" s="17">
        <v>4</v>
      </c>
      <c r="G21" s="17">
        <v>16</v>
      </c>
      <c r="H21" s="18">
        <v>71.11</v>
      </c>
      <c r="I21" s="2">
        <f>HLOOKUP($C21,'Параметры ПФ'!$F$8:$K$13,6,FALSE)</f>
        <v>164.76</v>
      </c>
      <c r="J21" s="2">
        <f t="shared" si="1"/>
        <v>10239.84</v>
      </c>
      <c r="K21" s="3">
        <f>IF(J21&lt;'Параметры ПФ'!T$2+0.01,'Стандартные программы'!J21,ROUNDDOWN('Параметры ПФ'!T$2/IF(H21=0,I21,IF(I21&gt;H21,H21,I21)),0)*IF(H21=0,I21,IF(I21&gt;H21,H21,I21)))</f>
        <v>10239.84</v>
      </c>
      <c r="L21" s="2">
        <f t="shared" si="0"/>
        <v>163837.44</v>
      </c>
      <c r="M21" s="24">
        <f>IF(J21&lt;'Параметры ПФ'!T$2+0.01,E21*F21*G21,ROUNDDOWN('Параметры ПФ'!T$2/IF(H21=0,I21,IF(I21&gt;H21,H21,I21)),0)*G21)</f>
        <v>2304</v>
      </c>
      <c r="N21" s="21">
        <f t="shared" si="2"/>
        <v>0</v>
      </c>
      <c r="O21" s="31">
        <v>7</v>
      </c>
      <c r="P21" s="3">
        <f t="shared" si="3"/>
        <v>31857.279999999999</v>
      </c>
      <c r="Q21" s="30">
        <f t="shared" si="4"/>
        <v>448</v>
      </c>
      <c r="R21" s="3">
        <f t="shared" si="5"/>
        <v>131980.16</v>
      </c>
      <c r="S21" s="30">
        <f t="shared" si="6"/>
        <v>1856</v>
      </c>
    </row>
    <row r="22" spans="1:19" x14ac:dyDescent="0.25">
      <c r="A22" s="1" t="s">
        <v>72</v>
      </c>
      <c r="B22" s="1" t="s">
        <v>90</v>
      </c>
      <c r="C22" s="1" t="s">
        <v>5</v>
      </c>
      <c r="D22" s="16">
        <v>36</v>
      </c>
      <c r="E22" s="16">
        <v>36</v>
      </c>
      <c r="F22" s="17">
        <v>4</v>
      </c>
      <c r="G22" s="17">
        <v>10</v>
      </c>
      <c r="H22" s="18">
        <v>47.41</v>
      </c>
      <c r="I22" s="2">
        <f>HLOOKUP($C22,'Параметры ПФ'!$F$8:$K$13,6,FALSE)</f>
        <v>149.82</v>
      </c>
      <c r="J22" s="2">
        <f t="shared" si="1"/>
        <v>6827.04</v>
      </c>
      <c r="K22" s="3">
        <f>IF(J22&lt;'Параметры ПФ'!T$2+0.01,'Стандартные программы'!J22,ROUNDDOWN('Параметры ПФ'!T$2/IF(H22=0,I22,IF(I22&gt;H22,H22,I22)),0)*IF(H22=0,I22,IF(I22&gt;H22,H22,I22)))</f>
        <v>6827.04</v>
      </c>
      <c r="L22" s="2">
        <f t="shared" si="0"/>
        <v>68270.399999999994</v>
      </c>
      <c r="M22" s="24">
        <f>IF(J22&lt;'Параметры ПФ'!T$2+0.01,E22*F22*G22,ROUNDDOWN('Параметры ПФ'!T$2/IF(H22=0,I22,IF(I22&gt;H22,H22,I22)),0)*G22)</f>
        <v>1440</v>
      </c>
      <c r="N22" s="21">
        <f t="shared" si="2"/>
        <v>0</v>
      </c>
      <c r="O22" s="31">
        <v>7</v>
      </c>
      <c r="P22" s="3">
        <f t="shared" si="3"/>
        <v>13274.8</v>
      </c>
      <c r="Q22" s="30">
        <f t="shared" si="4"/>
        <v>280</v>
      </c>
      <c r="R22" s="3">
        <f t="shared" si="5"/>
        <v>54995.6</v>
      </c>
      <c r="S22" s="30">
        <f t="shared" si="6"/>
        <v>1160</v>
      </c>
    </row>
    <row r="23" spans="1:19" x14ac:dyDescent="0.25">
      <c r="A23" s="1" t="s">
        <v>72</v>
      </c>
      <c r="B23" s="1" t="s">
        <v>91</v>
      </c>
      <c r="C23" s="1" t="s">
        <v>5</v>
      </c>
      <c r="D23" s="16">
        <v>36</v>
      </c>
      <c r="E23" s="16">
        <v>36</v>
      </c>
      <c r="F23" s="17">
        <v>2</v>
      </c>
      <c r="G23" s="17">
        <v>10</v>
      </c>
      <c r="H23" s="18">
        <v>47.4</v>
      </c>
      <c r="I23" s="2">
        <f>HLOOKUP($C23,'Параметры ПФ'!$F$8:$K$13,6,FALSE)</f>
        <v>149.82</v>
      </c>
      <c r="J23" s="2">
        <f t="shared" si="1"/>
        <v>3412.8</v>
      </c>
      <c r="K23" s="3">
        <f>IF(J23&lt;'Параметры ПФ'!T$2+0.01,'Стандартные программы'!J23,ROUNDDOWN('Параметры ПФ'!T$2/IF(H23=0,I23,IF(I23&gt;H23,H23,I23)),0)*IF(H23=0,I23,IF(I23&gt;H23,H23,I23)))</f>
        <v>3412.8</v>
      </c>
      <c r="L23" s="2">
        <f t="shared" si="0"/>
        <v>34128</v>
      </c>
      <c r="M23" s="24">
        <f>IF(J23&lt;'Параметры ПФ'!T$2+0.01,E23*F23*G23,ROUNDDOWN('Параметры ПФ'!T$2/IF(H23=0,I23,IF(I23&gt;H23,H23,I23)),0)*G23)</f>
        <v>720</v>
      </c>
      <c r="N23" s="21">
        <f t="shared" si="2"/>
        <v>0</v>
      </c>
      <c r="O23" s="31">
        <v>7</v>
      </c>
      <c r="P23" s="3">
        <f t="shared" si="3"/>
        <v>6636</v>
      </c>
      <c r="Q23" s="30">
        <f t="shared" si="4"/>
        <v>140</v>
      </c>
      <c r="R23" s="3">
        <f t="shared" si="5"/>
        <v>27492</v>
      </c>
      <c r="S23" s="30">
        <f t="shared" si="6"/>
        <v>580</v>
      </c>
    </row>
    <row r="24" spans="1:19" x14ac:dyDescent="0.25">
      <c r="A24" s="1" t="s">
        <v>72</v>
      </c>
      <c r="B24" s="1" t="s">
        <v>92</v>
      </c>
      <c r="C24" s="1" t="s">
        <v>5</v>
      </c>
      <c r="D24" s="16">
        <v>36</v>
      </c>
      <c r="E24" s="16">
        <v>36</v>
      </c>
      <c r="F24" s="17">
        <v>4</v>
      </c>
      <c r="G24" s="17">
        <v>0</v>
      </c>
      <c r="H24" s="18">
        <v>47.4</v>
      </c>
      <c r="I24" s="2">
        <f>HLOOKUP($C24,'Параметры ПФ'!$F$8:$K$13,6,FALSE)</f>
        <v>149.82</v>
      </c>
      <c r="J24" s="2">
        <f t="shared" ref="J24:J34" si="7">IF(H24=0,I24*F24*E24,IF(I24&gt;H24,H24*F24*E24,I24*F24*E24))</f>
        <v>6825.6</v>
      </c>
      <c r="K24" s="3">
        <f>IF(J24&lt;'Параметры ПФ'!T$2+0.01,'Стандартные программы'!J24,ROUNDDOWN('Параметры ПФ'!T$2/IF(H24=0,I24,IF(I24&gt;H24,H24,I24)),0)*IF(H24=0,I24,IF(I24&gt;H24,H24,I24)))</f>
        <v>6825.6</v>
      </c>
      <c r="L24" s="2">
        <f t="shared" si="0"/>
        <v>0</v>
      </c>
      <c r="M24" s="24">
        <f>IF(J24&lt;'Параметры ПФ'!T$2+0.01,E24*F24*G24,ROUNDDOWN('Параметры ПФ'!T$2/IF(H24=0,I24,IF(I24&gt;H24,H24,I24)),0)*G24)</f>
        <v>0</v>
      </c>
      <c r="N24" s="21">
        <f t="shared" si="2"/>
        <v>0</v>
      </c>
      <c r="O24" s="31">
        <v>7</v>
      </c>
      <c r="P24" s="3">
        <f t="shared" si="3"/>
        <v>0</v>
      </c>
      <c r="Q24" s="30">
        <f t="shared" si="4"/>
        <v>0</v>
      </c>
      <c r="R24" s="3">
        <f t="shared" si="5"/>
        <v>0</v>
      </c>
      <c r="S24" s="30">
        <f t="shared" si="6"/>
        <v>0</v>
      </c>
    </row>
    <row r="25" spans="1:19" x14ac:dyDescent="0.25">
      <c r="A25" s="1" t="s">
        <v>72</v>
      </c>
      <c r="B25" s="1" t="s">
        <v>93</v>
      </c>
      <c r="C25" s="1" t="s">
        <v>5</v>
      </c>
      <c r="D25" s="16">
        <v>36</v>
      </c>
      <c r="E25" s="16">
        <v>36</v>
      </c>
      <c r="F25" s="17">
        <v>6</v>
      </c>
      <c r="G25" s="17">
        <v>12</v>
      </c>
      <c r="H25" s="18">
        <v>47.4</v>
      </c>
      <c r="I25" s="2">
        <f>HLOOKUP($C25,'Параметры ПФ'!$F$8:$K$13,6,FALSE)</f>
        <v>149.82</v>
      </c>
      <c r="J25" s="2">
        <f t="shared" si="7"/>
        <v>10238.4</v>
      </c>
      <c r="K25" s="3">
        <f>IF(J25&lt;'Параметры ПФ'!T$2+0.01,'Стандартные программы'!J25,ROUNDDOWN('Параметры ПФ'!T$2/IF(H25=0,I25,IF(I25&gt;H25,H25,I25)),0)*IF(H25=0,I25,IF(I25&gt;H25,H25,I25)))</f>
        <v>10238.4</v>
      </c>
      <c r="L25" s="2">
        <f t="shared" si="0"/>
        <v>122860.8</v>
      </c>
      <c r="M25" s="24">
        <f>IF(J25&lt;'Параметры ПФ'!T$2+0.01,E25*F25*G25,ROUNDDOWN('Параметры ПФ'!T$2/IF(H25=0,I25,IF(I25&gt;H25,H25,I25)),0)*G25)</f>
        <v>2592</v>
      </c>
      <c r="N25" s="21">
        <f t="shared" ref="N25:N34" si="8">IF(H25=0,I25*F25*E25,IF(I25&gt;H25,H25*F25*E25,I25*F25*E25))-K25</f>
        <v>0</v>
      </c>
      <c r="O25" s="31">
        <v>7</v>
      </c>
      <c r="P25" s="3">
        <f t="shared" si="3"/>
        <v>23889.599999999999</v>
      </c>
      <c r="Q25" s="30">
        <f t="shared" si="4"/>
        <v>504</v>
      </c>
      <c r="R25" s="3">
        <f t="shared" si="5"/>
        <v>98971.199999999997</v>
      </c>
      <c r="S25" s="30">
        <f t="shared" si="6"/>
        <v>2088</v>
      </c>
    </row>
    <row r="26" spans="1:19" x14ac:dyDescent="0.25">
      <c r="A26" s="1" t="s">
        <v>72</v>
      </c>
      <c r="B26" s="1" t="s">
        <v>94</v>
      </c>
      <c r="C26" s="1" t="s">
        <v>5</v>
      </c>
      <c r="D26" s="16">
        <v>36</v>
      </c>
      <c r="E26" s="16">
        <v>36</v>
      </c>
      <c r="F26" s="17">
        <v>4</v>
      </c>
      <c r="G26" s="17">
        <v>10</v>
      </c>
      <c r="H26" s="18">
        <v>47.4</v>
      </c>
      <c r="I26" s="2">
        <f>HLOOKUP($C26,'Параметры ПФ'!$F$8:$K$13,6,FALSE)</f>
        <v>149.82</v>
      </c>
      <c r="J26" s="2">
        <f t="shared" si="7"/>
        <v>6825.6</v>
      </c>
      <c r="K26" s="3">
        <f>IF(J26&lt;'Параметры ПФ'!T$2+0.01,'Стандартные программы'!J26,ROUNDDOWN('Параметры ПФ'!T$2/IF(H26=0,I26,IF(I26&gt;H26,H26,I26)),0)*IF(H26=0,I26,IF(I26&gt;H26,H26,I26)))</f>
        <v>6825.6</v>
      </c>
      <c r="L26" s="2">
        <f t="shared" ref="L26:L34" si="9">K26*G26</f>
        <v>68256</v>
      </c>
      <c r="M26" s="24">
        <f>IF(J26&lt;'Параметры ПФ'!T$2+0.01,E26*F26*G26,ROUNDDOWN('Параметры ПФ'!T$2/IF(H26=0,I26,IF(I26&gt;H26,H26,I26)),0)*G26)</f>
        <v>1440</v>
      </c>
      <c r="N26" s="21">
        <f t="shared" si="8"/>
        <v>0</v>
      </c>
      <c r="O26" s="31">
        <v>7</v>
      </c>
      <c r="P26" s="3">
        <f t="shared" si="3"/>
        <v>13272</v>
      </c>
      <c r="Q26" s="30">
        <f t="shared" si="4"/>
        <v>280</v>
      </c>
      <c r="R26" s="3">
        <f t="shared" si="5"/>
        <v>54984</v>
      </c>
      <c r="S26" s="30">
        <f t="shared" si="6"/>
        <v>1160</v>
      </c>
    </row>
    <row r="27" spans="1:19" ht="47.25" x14ac:dyDescent="0.25">
      <c r="A27" s="1" t="s">
        <v>72</v>
      </c>
      <c r="B27" s="91" t="s">
        <v>95</v>
      </c>
      <c r="C27" s="1" t="s">
        <v>5</v>
      </c>
      <c r="D27" s="16">
        <v>36</v>
      </c>
      <c r="E27" s="16">
        <v>36</v>
      </c>
      <c r="F27" s="17">
        <v>6</v>
      </c>
      <c r="G27" s="17">
        <v>12</v>
      </c>
      <c r="H27" s="18">
        <v>47.4</v>
      </c>
      <c r="I27" s="2">
        <f>HLOOKUP($C27,'Параметры ПФ'!$F$8:$K$13,6,FALSE)</f>
        <v>149.82</v>
      </c>
      <c r="J27" s="2">
        <f t="shared" si="7"/>
        <v>10238.4</v>
      </c>
      <c r="K27" s="3">
        <f>IF(J27&lt;'Параметры ПФ'!T$2+0.01,'Стандартные программы'!J27,ROUNDDOWN('Параметры ПФ'!T$2/IF(H27=0,I27,IF(I27&gt;H27,H27,I27)),0)*IF(H27=0,I27,IF(I27&gt;H27,H27,I27)))</f>
        <v>10238.4</v>
      </c>
      <c r="L27" s="2">
        <f t="shared" si="9"/>
        <v>122860.8</v>
      </c>
      <c r="M27" s="24">
        <f>IF(J27&lt;'Параметры ПФ'!T$2+0.01,E27*F27*G27,ROUNDDOWN('Параметры ПФ'!T$2/IF(H27=0,I27,IF(I27&gt;H27,H27,I27)),0)*G27)</f>
        <v>2592</v>
      </c>
      <c r="N27" s="21">
        <f t="shared" si="8"/>
        <v>0</v>
      </c>
      <c r="O27" s="31">
        <v>7</v>
      </c>
      <c r="P27" s="3">
        <f t="shared" si="3"/>
        <v>23889.599999999999</v>
      </c>
      <c r="Q27" s="30">
        <f t="shared" si="4"/>
        <v>504</v>
      </c>
      <c r="R27" s="3">
        <f t="shared" si="5"/>
        <v>98971.199999999997</v>
      </c>
      <c r="S27" s="30">
        <f t="shared" si="6"/>
        <v>2088</v>
      </c>
    </row>
    <row r="28" spans="1:19" ht="31.5" x14ac:dyDescent="0.25">
      <c r="A28" s="1" t="s">
        <v>72</v>
      </c>
      <c r="B28" s="91" t="s">
        <v>96</v>
      </c>
      <c r="C28" s="1" t="s">
        <v>5</v>
      </c>
      <c r="D28" s="16">
        <v>36</v>
      </c>
      <c r="E28" s="16">
        <v>36</v>
      </c>
      <c r="F28" s="17">
        <v>4</v>
      </c>
      <c r="G28" s="17">
        <v>24</v>
      </c>
      <c r="H28" s="18">
        <v>47.4</v>
      </c>
      <c r="I28" s="2">
        <f>HLOOKUP($C28,'Параметры ПФ'!$F$8:$K$13,6,FALSE)</f>
        <v>149.82</v>
      </c>
      <c r="J28" s="2">
        <f t="shared" si="7"/>
        <v>6825.6</v>
      </c>
      <c r="K28" s="3">
        <f>IF(J28&lt;'Параметры ПФ'!T$2+0.01,'Стандартные программы'!J28,ROUNDDOWN('Параметры ПФ'!T$2/IF(H28=0,I28,IF(I28&gt;H28,H28,I28)),0)*IF(H28=0,I28,IF(I28&gt;H28,H28,I28)))</f>
        <v>6825.6</v>
      </c>
      <c r="L28" s="2">
        <f t="shared" si="9"/>
        <v>163814.39999999999</v>
      </c>
      <c r="M28" s="24">
        <f>IF(J28&lt;'Параметры ПФ'!T$2+0.01,E28*F28*G28,ROUNDDOWN('Параметры ПФ'!T$2/IF(H28=0,I28,IF(I28&gt;H28,H28,I28)),0)*G28)</f>
        <v>3456</v>
      </c>
      <c r="N28" s="21">
        <f t="shared" si="8"/>
        <v>0</v>
      </c>
      <c r="O28" s="31">
        <v>7</v>
      </c>
      <c r="P28" s="3">
        <f t="shared" si="3"/>
        <v>31852.799999999999</v>
      </c>
      <c r="Q28" s="30">
        <f t="shared" si="4"/>
        <v>672</v>
      </c>
      <c r="R28" s="3">
        <f t="shared" si="5"/>
        <v>131961.60000000001</v>
      </c>
      <c r="S28" s="30">
        <f t="shared" si="6"/>
        <v>2784</v>
      </c>
    </row>
    <row r="29" spans="1:19" ht="47.25" x14ac:dyDescent="0.25">
      <c r="A29" s="1" t="s">
        <v>72</v>
      </c>
      <c r="B29" s="91" t="s">
        <v>97</v>
      </c>
      <c r="C29" s="1" t="s">
        <v>5</v>
      </c>
      <c r="D29" s="16">
        <v>36</v>
      </c>
      <c r="E29" s="16">
        <v>36</v>
      </c>
      <c r="F29" s="17">
        <v>4</v>
      </c>
      <c r="G29" s="17">
        <v>0</v>
      </c>
      <c r="H29" s="18">
        <v>47.4</v>
      </c>
      <c r="I29" s="2">
        <f>HLOOKUP($C29,'Параметры ПФ'!$F$8:$K$13,6,FALSE)</f>
        <v>149.82</v>
      </c>
      <c r="J29" s="2">
        <f t="shared" si="7"/>
        <v>6825.6</v>
      </c>
      <c r="K29" s="3">
        <f>IF(J29&lt;'Параметры ПФ'!T$2+0.01,'Стандартные программы'!J29,ROUNDDOWN('Параметры ПФ'!T$2/IF(H29=0,I29,IF(I29&gt;H29,H29,I29)),0)*IF(H29=0,I29,IF(I29&gt;H29,H29,I29)))</f>
        <v>6825.6</v>
      </c>
      <c r="L29" s="2">
        <f t="shared" si="9"/>
        <v>0</v>
      </c>
      <c r="M29" s="24">
        <f>IF(J29&lt;'Параметры ПФ'!T$2+0.01,E29*F29*G29,ROUNDDOWN('Параметры ПФ'!T$2/IF(H29=0,I29,IF(I29&gt;H29,H29,I29)),0)*G29)</f>
        <v>0</v>
      </c>
      <c r="N29" s="21">
        <f t="shared" si="8"/>
        <v>0</v>
      </c>
      <c r="O29" s="31">
        <v>7</v>
      </c>
      <c r="P29" s="3">
        <f t="shared" si="3"/>
        <v>0</v>
      </c>
      <c r="Q29" s="30">
        <f t="shared" si="4"/>
        <v>0</v>
      </c>
      <c r="R29" s="3">
        <f t="shared" si="5"/>
        <v>0</v>
      </c>
      <c r="S29" s="30">
        <f t="shared" si="6"/>
        <v>0</v>
      </c>
    </row>
    <row r="30" spans="1:19" ht="47.25" x14ac:dyDescent="0.25">
      <c r="A30" s="1" t="s">
        <v>72</v>
      </c>
      <c r="B30" s="91" t="s">
        <v>98</v>
      </c>
      <c r="C30" s="1" t="s">
        <v>5</v>
      </c>
      <c r="D30" s="16">
        <v>36</v>
      </c>
      <c r="E30" s="16">
        <v>36</v>
      </c>
      <c r="F30" s="17">
        <v>6</v>
      </c>
      <c r="G30" s="17">
        <v>0</v>
      </c>
      <c r="H30" s="18">
        <v>47.4</v>
      </c>
      <c r="I30" s="2">
        <f>HLOOKUP($C30,'Параметры ПФ'!$F$8:$K$13,6,FALSE)</f>
        <v>149.82</v>
      </c>
      <c r="J30" s="2">
        <f t="shared" si="7"/>
        <v>10238.4</v>
      </c>
      <c r="K30" s="3">
        <f>IF(J30&lt;'Параметры ПФ'!T$2+0.01,'Стандартные программы'!J30,ROUNDDOWN('Параметры ПФ'!T$2/IF(H30=0,I30,IF(I30&gt;H30,H30,I30)),0)*IF(H30=0,I30,IF(I30&gt;H30,H30,I30)))</f>
        <v>10238.4</v>
      </c>
      <c r="L30" s="2">
        <f t="shared" si="9"/>
        <v>0</v>
      </c>
      <c r="M30" s="24">
        <f>IF(J30&lt;'Параметры ПФ'!T$2+0.01,E30*F30*G30,ROUNDDOWN('Параметры ПФ'!T$2/IF(H30=0,I30,IF(I30&gt;H30,H30,I30)),0)*G30)</f>
        <v>0</v>
      </c>
      <c r="N30" s="21">
        <f t="shared" si="8"/>
        <v>0</v>
      </c>
      <c r="O30" s="31">
        <v>7</v>
      </c>
      <c r="P30" s="3">
        <f t="shared" si="3"/>
        <v>0</v>
      </c>
      <c r="Q30" s="30">
        <f t="shared" si="4"/>
        <v>0</v>
      </c>
      <c r="R30" s="3">
        <f t="shared" si="5"/>
        <v>0</v>
      </c>
      <c r="S30" s="30">
        <f t="shared" si="6"/>
        <v>0</v>
      </c>
    </row>
    <row r="31" spans="1:19" ht="94.5" x14ac:dyDescent="0.25">
      <c r="A31" s="91" t="s">
        <v>99</v>
      </c>
      <c r="B31" s="91" t="s">
        <v>100</v>
      </c>
      <c r="C31" s="1" t="s">
        <v>5</v>
      </c>
      <c r="D31" s="16">
        <v>36</v>
      </c>
      <c r="E31" s="16">
        <v>36</v>
      </c>
      <c r="F31" s="17">
        <v>6</v>
      </c>
      <c r="G31" s="17">
        <v>86</v>
      </c>
      <c r="H31" s="18">
        <v>47.4</v>
      </c>
      <c r="I31" s="2">
        <f>HLOOKUP($C31,'Параметры ПФ'!$F$8:$K$13,6,FALSE)</f>
        <v>149.82</v>
      </c>
      <c r="J31" s="2">
        <f t="shared" si="7"/>
        <v>10238.4</v>
      </c>
      <c r="K31" s="3">
        <f>IF(J31&lt;'Параметры ПФ'!T$2+0.01,'Стандартные программы'!J31,ROUNDDOWN('Параметры ПФ'!T$2/IF(H31=0,I31,IF(I31&gt;H31,H31,I31)),0)*IF(H31=0,I31,IF(I31&gt;H31,H31,I31)))</f>
        <v>10238.4</v>
      </c>
      <c r="L31" s="2">
        <f t="shared" si="9"/>
        <v>880502.4</v>
      </c>
      <c r="M31" s="24">
        <f>IF(J31&lt;'Параметры ПФ'!T$2+0.01,E31*F31*G31,ROUNDDOWN('Параметры ПФ'!T$2/IF(H31=0,I31,IF(I31&gt;H31,H31,I31)),0)*G31)</f>
        <v>18576</v>
      </c>
      <c r="N31" s="21">
        <f t="shared" si="8"/>
        <v>0</v>
      </c>
      <c r="O31" s="31">
        <v>7</v>
      </c>
      <c r="P31" s="3">
        <f t="shared" si="3"/>
        <v>171208.8</v>
      </c>
      <c r="Q31" s="30">
        <f t="shared" si="4"/>
        <v>3612</v>
      </c>
      <c r="R31" s="3">
        <f t="shared" si="5"/>
        <v>709293.6</v>
      </c>
      <c r="S31" s="30">
        <f t="shared" si="6"/>
        <v>14964</v>
      </c>
    </row>
    <row r="32" spans="1:19" ht="78.75" x14ac:dyDescent="0.25">
      <c r="A32" s="91" t="s">
        <v>99</v>
      </c>
      <c r="B32" s="91" t="s">
        <v>101</v>
      </c>
      <c r="C32" s="1" t="s">
        <v>5</v>
      </c>
      <c r="D32" s="16">
        <v>36</v>
      </c>
      <c r="E32" s="16">
        <v>20</v>
      </c>
      <c r="F32" s="17">
        <v>6</v>
      </c>
      <c r="G32" s="17">
        <v>17</v>
      </c>
      <c r="H32" s="18">
        <v>47.4</v>
      </c>
      <c r="I32" s="2">
        <f>HLOOKUP($C32,'Параметры ПФ'!$F$8:$K$13,6,FALSE)</f>
        <v>149.82</v>
      </c>
      <c r="J32" s="2">
        <f t="shared" si="7"/>
        <v>5688</v>
      </c>
      <c r="K32" s="3">
        <f>IF(J32&lt;'Параметры ПФ'!T$2+0.01,'Стандартные программы'!J32,ROUNDDOWN('Параметры ПФ'!T$2/IF(H32=0,I32,IF(I32&gt;H32,H32,I32)),0)*IF(H32=0,I32,IF(I32&gt;H32,H32,I32)))</f>
        <v>5688</v>
      </c>
      <c r="L32" s="2">
        <f t="shared" si="9"/>
        <v>96696</v>
      </c>
      <c r="M32" s="24">
        <f>IF(J32&lt;'Параметры ПФ'!T$2+0.01,E32*F32*G32,ROUNDDOWN('Параметры ПФ'!T$2/IF(H32=0,I32,IF(I32&gt;H32,H32,I32)),0)*G32)</f>
        <v>2040</v>
      </c>
      <c r="N32" s="21">
        <f t="shared" si="8"/>
        <v>0</v>
      </c>
      <c r="O32" s="31">
        <v>7</v>
      </c>
      <c r="P32" s="3">
        <f t="shared" si="3"/>
        <v>33843.599999999999</v>
      </c>
      <c r="Q32" s="30">
        <f t="shared" si="4"/>
        <v>714</v>
      </c>
      <c r="R32" s="3">
        <f t="shared" si="5"/>
        <v>62852.4</v>
      </c>
      <c r="S32" s="30">
        <f t="shared" si="6"/>
        <v>1326</v>
      </c>
    </row>
    <row r="33" spans="1:19" ht="78.75" x14ac:dyDescent="0.25">
      <c r="A33" s="91" t="s">
        <v>99</v>
      </c>
      <c r="B33" s="91" t="s">
        <v>102</v>
      </c>
      <c r="C33" s="1" t="s">
        <v>5</v>
      </c>
      <c r="D33" s="16">
        <v>36</v>
      </c>
      <c r="E33" s="16">
        <v>16</v>
      </c>
      <c r="F33" s="17">
        <v>6</v>
      </c>
      <c r="G33" s="17">
        <v>17</v>
      </c>
      <c r="H33" s="18">
        <v>47.4</v>
      </c>
      <c r="I33" s="2">
        <f>HLOOKUP($C33,'Параметры ПФ'!$F$8:$K$13,6,FALSE)</f>
        <v>149.82</v>
      </c>
      <c r="J33" s="2">
        <f t="shared" si="7"/>
        <v>4550.3999999999996</v>
      </c>
      <c r="K33" s="3">
        <f>IF(J33&lt;'Параметры ПФ'!T$2+0.01,'Стандартные программы'!J33,ROUNDDOWN('Параметры ПФ'!T$2/IF(H33=0,I33,IF(I33&gt;H33,H33,I33)),0)*IF(H33=0,I33,IF(I33&gt;H33,H33,I33)))</f>
        <v>4550.3999999999996</v>
      </c>
      <c r="L33" s="2">
        <f t="shared" si="9"/>
        <v>77356.800000000003</v>
      </c>
      <c r="M33" s="24">
        <f>IF(J33&lt;'Параметры ПФ'!T$2+0.01,E33*F33*G33,ROUNDDOWN('Параметры ПФ'!T$2/IF(H33=0,I33,IF(I33&gt;H33,H33,I33)),0)*G33)</f>
        <v>1632</v>
      </c>
      <c r="N33" s="21">
        <f t="shared" si="8"/>
        <v>0</v>
      </c>
      <c r="O33" s="31">
        <v>0</v>
      </c>
      <c r="P33" s="3">
        <f t="shared" si="3"/>
        <v>0</v>
      </c>
      <c r="Q33" s="30">
        <f t="shared" si="4"/>
        <v>0</v>
      </c>
      <c r="R33" s="3">
        <f t="shared" si="5"/>
        <v>77356.800000000003</v>
      </c>
      <c r="S33" s="30">
        <f t="shared" si="6"/>
        <v>1632</v>
      </c>
    </row>
    <row r="34" spans="1:19" ht="63" x14ac:dyDescent="0.25">
      <c r="A34" s="91" t="s">
        <v>99</v>
      </c>
      <c r="B34" s="91" t="s">
        <v>103</v>
      </c>
      <c r="C34" s="1" t="s">
        <v>5</v>
      </c>
      <c r="D34" s="16">
        <v>36</v>
      </c>
      <c r="E34" s="16">
        <v>36</v>
      </c>
      <c r="F34" s="17">
        <v>6</v>
      </c>
      <c r="G34" s="17">
        <v>37</v>
      </c>
      <c r="H34" s="18">
        <v>47.4</v>
      </c>
      <c r="I34" s="2">
        <f>HLOOKUP($C34,'Параметры ПФ'!$F$8:$K$13,6,FALSE)</f>
        <v>149.82</v>
      </c>
      <c r="J34" s="2">
        <f t="shared" si="7"/>
        <v>10238.4</v>
      </c>
      <c r="K34" s="3">
        <f>IF(J34&lt;'Параметры ПФ'!T$2+0.01,'Стандартные программы'!J34,ROUNDDOWN('Параметры ПФ'!T$2/IF(H34=0,I34,IF(I34&gt;H34,H34,I34)),0)*IF(H34=0,I34,IF(I34&gt;H34,H34,I34)))</f>
        <v>10238.4</v>
      </c>
      <c r="L34" s="2">
        <f t="shared" si="9"/>
        <v>378820.8</v>
      </c>
      <c r="M34" s="24">
        <f>IF(J34&lt;'Параметры ПФ'!T$2+0.01,E34*F34*G34,ROUNDDOWN('Параметры ПФ'!T$2/IF(H34=0,I34,IF(I34&gt;H34,H34,I34)),0)*G34)</f>
        <v>7992</v>
      </c>
      <c r="N34" s="21">
        <f t="shared" si="8"/>
        <v>0</v>
      </c>
      <c r="O34" s="31">
        <v>7</v>
      </c>
      <c r="P34" s="3">
        <f t="shared" si="3"/>
        <v>73659.600000000006</v>
      </c>
      <c r="Q34" s="30">
        <f t="shared" si="4"/>
        <v>1554</v>
      </c>
      <c r="R34" s="3">
        <f t="shared" si="5"/>
        <v>305161.2</v>
      </c>
      <c r="S34" s="30">
        <f t="shared" si="6"/>
        <v>6438</v>
      </c>
    </row>
    <row r="35" spans="1:19" s="34" customFormat="1" x14ac:dyDescent="0.25">
      <c r="A35" s="123"/>
      <c r="B35" s="123"/>
      <c r="C35" s="123"/>
      <c r="D35" s="123"/>
      <c r="E35" s="123"/>
      <c r="F35" s="123"/>
      <c r="G35" s="4">
        <f>G2+G4+G6+G7+G8+G9+G10+G11+G12+G15+G17+G19+G20+G21+G22+G23+G24+G25+G26+G27+G28+G31+G32+G34+G29+G5+G13</f>
        <v>500</v>
      </c>
      <c r="H35" s="5" t="s">
        <v>28</v>
      </c>
      <c r="I35" s="6" t="s">
        <v>28</v>
      </c>
      <c r="J35" s="5" t="s">
        <v>28</v>
      </c>
      <c r="K35" s="6" t="s">
        <v>28</v>
      </c>
      <c r="L35" s="25">
        <f>SUM(L2:L34)</f>
        <v>4850004.96</v>
      </c>
      <c r="M35" s="26">
        <f>SUM(M2:M34)</f>
        <v>81216</v>
      </c>
      <c r="N35" s="32" t="s">
        <v>28</v>
      </c>
      <c r="O35" s="32" t="s">
        <v>28</v>
      </c>
      <c r="P35" s="33">
        <f>SUM(P2:P34)</f>
        <v>943056.52</v>
      </c>
      <c r="Q35" s="33">
        <f t="shared" ref="Q35:S35" si="10">SUM(Q2:Q34)</f>
        <v>15792</v>
      </c>
      <c r="R35" s="33">
        <f t="shared" si="10"/>
        <v>3906948.44</v>
      </c>
      <c r="S35" s="33">
        <f t="shared" si="10"/>
        <v>65424</v>
      </c>
    </row>
    <row r="36" spans="1:19" x14ac:dyDescent="0.25">
      <c r="G36" s="15"/>
      <c r="I36" s="124"/>
      <c r="J36" s="124"/>
      <c r="K36" s="124"/>
    </row>
    <row r="37" spans="1:19" x14ac:dyDescent="0.25">
      <c r="J37" s="125"/>
      <c r="K37" s="125"/>
      <c r="L37" s="19"/>
      <c r="M37" s="19"/>
      <c r="Q37" s="36"/>
    </row>
    <row r="42" spans="1:19" x14ac:dyDescent="0.25">
      <c r="P42" s="36"/>
    </row>
  </sheetData>
  <autoFilter ref="A1:S35"/>
  <mergeCells count="3">
    <mergeCell ref="A35:F35"/>
    <mergeCell ref="I36:K36"/>
    <mergeCell ref="J37:K3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greaterThan" id="{7F9B028B-6BC4-484A-915D-E8B2B5908506}">
            <xm:f>'Параметры ПФ'!$I$3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N2:N34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70" zoomScaleNormal="70" workbookViewId="0">
      <selection activeCell="B50" sqref="B50"/>
    </sheetView>
  </sheetViews>
  <sheetFormatPr defaultRowHeight="15.75" x14ac:dyDescent="0.25"/>
  <cols>
    <col min="1" max="1" width="18.875" customWidth="1"/>
    <col min="2" max="2" width="36" customWidth="1"/>
    <col min="3" max="3" width="26.625" customWidth="1"/>
    <col min="4" max="4" width="12.25" customWidth="1"/>
    <col min="5" max="5" width="12.5" customWidth="1"/>
    <col min="6" max="6" width="10.625" customWidth="1"/>
    <col min="7" max="7" width="11.625" customWidth="1"/>
    <col min="8" max="8" width="11.875" customWidth="1"/>
    <col min="9" max="9" width="10.125" customWidth="1"/>
    <col min="10" max="10" width="12.625" customWidth="1"/>
    <col min="11" max="11" width="13.125" customWidth="1"/>
    <col min="12" max="12" width="14.625" customWidth="1"/>
    <col min="13" max="13" width="16.25" customWidth="1"/>
    <col min="14" max="14" width="15.625" customWidth="1"/>
    <col min="15" max="15" width="14.875" customWidth="1"/>
    <col min="16" max="16" width="15.5" customWidth="1"/>
    <col min="17" max="17" width="16.625" customWidth="1"/>
    <col min="18" max="18" width="15.125" customWidth="1"/>
    <col min="19" max="19" width="18.25" customWidth="1"/>
  </cols>
  <sheetData>
    <row r="1" spans="1:19" s="74" customFormat="1" ht="96" customHeight="1" x14ac:dyDescent="0.25">
      <c r="A1" s="11" t="s">
        <v>24</v>
      </c>
      <c r="B1" s="11" t="s">
        <v>25</v>
      </c>
      <c r="C1" s="11" t="s">
        <v>7</v>
      </c>
      <c r="D1" s="12" t="s">
        <v>6</v>
      </c>
      <c r="E1" s="12" t="s">
        <v>35</v>
      </c>
      <c r="F1" s="12" t="s">
        <v>29</v>
      </c>
      <c r="G1" s="12" t="s">
        <v>26</v>
      </c>
      <c r="H1" s="13" t="s">
        <v>30</v>
      </c>
      <c r="I1" s="14" t="s">
        <v>27</v>
      </c>
      <c r="J1" s="14" t="s">
        <v>36</v>
      </c>
      <c r="K1" s="23" t="s">
        <v>37</v>
      </c>
      <c r="L1" s="14" t="s">
        <v>31</v>
      </c>
      <c r="M1" s="14" t="s">
        <v>43</v>
      </c>
      <c r="N1" s="20" t="s">
        <v>38</v>
      </c>
      <c r="O1" s="72" t="s">
        <v>56</v>
      </c>
      <c r="P1" s="14" t="s">
        <v>57</v>
      </c>
      <c r="Q1" s="14" t="s">
        <v>58</v>
      </c>
      <c r="R1" s="14" t="s">
        <v>59</v>
      </c>
      <c r="S1" s="14" t="s">
        <v>60</v>
      </c>
    </row>
    <row r="2" spans="1:19" x14ac:dyDescent="0.25">
      <c r="A2" s="1"/>
      <c r="B2" s="1"/>
      <c r="C2" s="1"/>
      <c r="D2" s="16"/>
      <c r="E2" s="16"/>
      <c r="F2" s="17"/>
      <c r="G2" s="17"/>
      <c r="H2" s="18"/>
      <c r="I2" s="2"/>
      <c r="J2" s="2"/>
      <c r="K2" s="3"/>
      <c r="L2" s="2"/>
      <c r="M2" s="27"/>
      <c r="N2" s="21"/>
      <c r="O2" s="31">
        <v>7</v>
      </c>
      <c r="P2" s="3"/>
      <c r="Q2" s="3"/>
      <c r="R2" s="29"/>
      <c r="S2" s="29"/>
    </row>
    <row r="3" spans="1:19" x14ac:dyDescent="0.25">
      <c r="A3" s="1"/>
      <c r="B3" s="1"/>
      <c r="C3" s="1"/>
      <c r="D3" s="16"/>
      <c r="E3" s="16"/>
      <c r="F3" s="17"/>
      <c r="G3" s="17"/>
      <c r="H3" s="18"/>
      <c r="I3" s="2"/>
      <c r="J3" s="2"/>
      <c r="K3" s="3"/>
      <c r="L3" s="2"/>
      <c r="M3" s="27"/>
      <c r="N3" s="21"/>
      <c r="O3" s="31">
        <v>0</v>
      </c>
      <c r="P3" s="3"/>
      <c r="Q3" s="3"/>
      <c r="R3" s="29"/>
      <c r="S3" s="29"/>
    </row>
    <row r="4" spans="1:19" x14ac:dyDescent="0.25">
      <c r="A4" s="1"/>
      <c r="B4" s="1"/>
      <c r="C4" s="1"/>
      <c r="D4" s="16"/>
      <c r="E4" s="16"/>
      <c r="F4" s="17"/>
      <c r="G4" s="17"/>
      <c r="H4" s="18"/>
      <c r="I4" s="2"/>
      <c r="J4" s="2"/>
      <c r="K4" s="3"/>
      <c r="L4" s="2"/>
      <c r="M4" s="27"/>
      <c r="N4" s="21"/>
      <c r="O4" s="31">
        <v>7</v>
      </c>
      <c r="P4" s="3"/>
      <c r="Q4" s="3"/>
      <c r="R4" s="29"/>
      <c r="S4" s="29"/>
    </row>
    <row r="5" spans="1:19" x14ac:dyDescent="0.25">
      <c r="A5" s="1"/>
      <c r="B5" s="1"/>
      <c r="C5" s="1"/>
      <c r="D5" s="16"/>
      <c r="E5" s="16"/>
      <c r="F5" s="17"/>
      <c r="G5" s="17"/>
      <c r="H5" s="18"/>
      <c r="I5" s="2"/>
      <c r="J5" s="2"/>
      <c r="K5" s="3"/>
      <c r="L5" s="2"/>
      <c r="M5" s="27"/>
      <c r="N5" s="21"/>
      <c r="O5" s="31">
        <v>0</v>
      </c>
      <c r="P5" s="3"/>
      <c r="Q5" s="3"/>
      <c r="R5" s="29"/>
      <c r="S5" s="29"/>
    </row>
    <row r="6" spans="1:19" x14ac:dyDescent="0.25">
      <c r="A6" s="1"/>
      <c r="B6" s="1"/>
      <c r="C6" s="1"/>
      <c r="D6" s="16"/>
      <c r="E6" s="16"/>
      <c r="F6" s="17"/>
      <c r="G6" s="17"/>
      <c r="H6" s="18"/>
      <c r="I6" s="2"/>
      <c r="J6" s="2"/>
      <c r="K6" s="3"/>
      <c r="L6" s="2"/>
      <c r="M6" s="27"/>
      <c r="N6" s="21"/>
      <c r="O6" s="31">
        <v>7</v>
      </c>
      <c r="P6" s="3"/>
      <c r="Q6" s="3"/>
      <c r="R6" s="29"/>
      <c r="S6" s="29"/>
    </row>
    <row r="7" spans="1:19" x14ac:dyDescent="0.25">
      <c r="A7" s="1"/>
      <c r="B7" s="1"/>
      <c r="C7" s="1"/>
      <c r="D7" s="16"/>
      <c r="E7" s="16"/>
      <c r="F7" s="17"/>
      <c r="G7" s="17"/>
      <c r="H7" s="18"/>
      <c r="I7" s="2"/>
      <c r="J7" s="2"/>
      <c r="K7" s="3"/>
      <c r="L7" s="2"/>
      <c r="M7" s="27"/>
      <c r="N7" s="21"/>
      <c r="O7" s="31">
        <v>0</v>
      </c>
      <c r="P7" s="3"/>
      <c r="Q7" s="3"/>
      <c r="R7" s="29"/>
      <c r="S7" s="29"/>
    </row>
    <row r="8" spans="1:19" x14ac:dyDescent="0.25">
      <c r="A8" s="1"/>
      <c r="B8" s="1"/>
      <c r="C8" s="1"/>
      <c r="D8" s="16"/>
      <c r="E8" s="16"/>
      <c r="F8" s="17"/>
      <c r="G8" s="17"/>
      <c r="H8" s="18"/>
      <c r="I8" s="2"/>
      <c r="J8" s="2"/>
      <c r="K8" s="3"/>
      <c r="L8" s="2"/>
      <c r="M8" s="27"/>
      <c r="N8" s="21"/>
      <c r="O8" s="31">
        <v>7</v>
      </c>
      <c r="P8" s="3"/>
      <c r="Q8" s="3"/>
      <c r="R8" s="29"/>
      <c r="S8" s="29"/>
    </row>
    <row r="9" spans="1:19" x14ac:dyDescent="0.25">
      <c r="A9" s="1"/>
      <c r="B9" s="1"/>
      <c r="C9" s="1"/>
      <c r="D9" s="16"/>
      <c r="E9" s="16"/>
      <c r="F9" s="17"/>
      <c r="G9" s="17"/>
      <c r="H9" s="18"/>
      <c r="I9" s="2"/>
      <c r="J9" s="2"/>
      <c r="K9" s="3"/>
      <c r="L9" s="2"/>
      <c r="M9" s="27"/>
      <c r="N9" s="21"/>
      <c r="O9" s="31"/>
      <c r="P9" s="3"/>
      <c r="Q9" s="3"/>
      <c r="R9" s="29"/>
      <c r="S9" s="29"/>
    </row>
    <row r="10" spans="1:19" x14ac:dyDescent="0.25">
      <c r="A10" s="1"/>
      <c r="B10" s="1"/>
      <c r="C10" s="1"/>
      <c r="D10" s="16"/>
      <c r="E10" s="16"/>
      <c r="F10" s="17"/>
      <c r="G10" s="17"/>
      <c r="H10" s="18"/>
      <c r="I10" s="2"/>
      <c r="J10" s="2"/>
      <c r="K10" s="3"/>
      <c r="L10" s="2"/>
      <c r="M10" s="27"/>
      <c r="N10" s="21"/>
      <c r="O10" s="31"/>
      <c r="P10" s="3"/>
      <c r="Q10" s="3"/>
      <c r="R10" s="29"/>
      <c r="S10" s="29"/>
    </row>
    <row r="11" spans="1:19" x14ac:dyDescent="0.25">
      <c r="A11" s="1"/>
      <c r="B11" s="1"/>
      <c r="C11" s="1"/>
      <c r="D11" s="16"/>
      <c r="E11" s="16"/>
      <c r="F11" s="17"/>
      <c r="G11" s="17"/>
      <c r="H11" s="18"/>
      <c r="I11" s="2"/>
      <c r="J11" s="2"/>
      <c r="K11" s="3"/>
      <c r="L11" s="2"/>
      <c r="M11" s="27"/>
      <c r="N11" s="21"/>
      <c r="O11" s="31"/>
      <c r="P11" s="3"/>
      <c r="Q11" s="3"/>
      <c r="R11" s="29"/>
      <c r="S11" s="29"/>
    </row>
    <row r="12" spans="1:19" x14ac:dyDescent="0.25">
      <c r="A12" s="1"/>
      <c r="B12" s="1"/>
      <c r="C12" s="1"/>
      <c r="D12" s="16"/>
      <c r="E12" s="16"/>
      <c r="F12" s="17"/>
      <c r="G12" s="17"/>
      <c r="H12" s="18"/>
      <c r="I12" s="2"/>
      <c r="J12" s="2"/>
      <c r="K12" s="3"/>
      <c r="L12" s="2"/>
      <c r="M12" s="27"/>
      <c r="N12" s="21"/>
      <c r="O12" s="31"/>
      <c r="P12" s="3"/>
      <c r="Q12" s="3"/>
      <c r="R12" s="29"/>
      <c r="S12" s="29"/>
    </row>
    <row r="13" spans="1:19" x14ac:dyDescent="0.25">
      <c r="A13" s="1"/>
      <c r="B13" s="1"/>
      <c r="C13" s="1"/>
      <c r="D13" s="16"/>
      <c r="E13" s="16"/>
      <c r="F13" s="17"/>
      <c r="G13" s="17"/>
      <c r="H13" s="18"/>
      <c r="I13" s="2"/>
      <c r="J13" s="2"/>
      <c r="K13" s="3"/>
      <c r="L13" s="2"/>
      <c r="M13" s="27"/>
      <c r="N13" s="21"/>
      <c r="O13" s="31"/>
      <c r="P13" s="3"/>
      <c r="Q13" s="3"/>
      <c r="R13" s="29"/>
      <c r="S13" s="29"/>
    </row>
    <row r="14" spans="1:19" x14ac:dyDescent="0.25">
      <c r="A14" s="1"/>
      <c r="B14" s="1"/>
      <c r="C14" s="1"/>
      <c r="D14" s="16"/>
      <c r="E14" s="16"/>
      <c r="F14" s="17"/>
      <c r="G14" s="17"/>
      <c r="H14" s="18"/>
      <c r="I14" s="2"/>
      <c r="J14" s="2"/>
      <c r="K14" s="3"/>
      <c r="L14" s="2"/>
      <c r="M14" s="27"/>
      <c r="N14" s="21"/>
      <c r="O14" s="31"/>
      <c r="P14" s="3"/>
      <c r="Q14" s="3"/>
      <c r="R14" s="29"/>
      <c r="S14" s="29"/>
    </row>
    <row r="15" spans="1:19" x14ac:dyDescent="0.25">
      <c r="A15" s="1"/>
      <c r="B15" s="1"/>
      <c r="C15" s="1"/>
      <c r="D15" s="16"/>
      <c r="E15" s="16"/>
      <c r="F15" s="17"/>
      <c r="G15" s="17"/>
      <c r="H15" s="18"/>
      <c r="I15" s="2"/>
      <c r="J15" s="2"/>
      <c r="K15" s="3"/>
      <c r="L15" s="2"/>
      <c r="M15" s="27"/>
      <c r="N15" s="21"/>
      <c r="O15" s="31"/>
      <c r="P15" s="3"/>
      <c r="Q15" s="3"/>
      <c r="R15" s="29"/>
      <c r="S15" s="29"/>
    </row>
    <row r="16" spans="1:19" x14ac:dyDescent="0.25">
      <c r="A16" s="1"/>
      <c r="B16" s="1"/>
      <c r="C16" s="1"/>
      <c r="D16" s="16"/>
      <c r="E16" s="16"/>
      <c r="F16" s="17"/>
      <c r="G16" s="17"/>
      <c r="H16" s="18"/>
      <c r="I16" s="2"/>
      <c r="J16" s="2"/>
      <c r="K16" s="3"/>
      <c r="L16" s="2"/>
      <c r="M16" s="27"/>
      <c r="N16" s="21"/>
      <c r="O16" s="31"/>
      <c r="P16" s="3"/>
      <c r="Q16" s="3"/>
      <c r="R16" s="29"/>
      <c r="S16" s="29"/>
    </row>
    <row r="17" spans="1:19" x14ac:dyDescent="0.25">
      <c r="A17" s="1"/>
      <c r="B17" s="1"/>
      <c r="C17" s="1"/>
      <c r="D17" s="16"/>
      <c r="E17" s="16"/>
      <c r="F17" s="17"/>
      <c r="G17" s="17"/>
      <c r="H17" s="18"/>
      <c r="I17" s="2"/>
      <c r="J17" s="2"/>
      <c r="K17" s="3"/>
      <c r="L17" s="2"/>
      <c r="M17" s="27"/>
      <c r="N17" s="21"/>
      <c r="O17" s="31"/>
      <c r="P17" s="3"/>
      <c r="Q17" s="3"/>
      <c r="R17" s="29"/>
      <c r="S17" s="29"/>
    </row>
    <row r="18" spans="1:19" x14ac:dyDescent="0.25">
      <c r="A18" s="1"/>
      <c r="B18" s="1"/>
      <c r="C18" s="1"/>
      <c r="D18" s="16"/>
      <c r="E18" s="16"/>
      <c r="F18" s="17"/>
      <c r="G18" s="17"/>
      <c r="H18" s="18"/>
      <c r="I18" s="2"/>
      <c r="J18" s="2"/>
      <c r="K18" s="3"/>
      <c r="L18" s="2"/>
      <c r="M18" s="27"/>
      <c r="N18" s="21"/>
      <c r="O18" s="31"/>
      <c r="P18" s="3"/>
      <c r="Q18" s="3"/>
      <c r="R18" s="29"/>
      <c r="S18" s="29"/>
    </row>
    <row r="19" spans="1:19" x14ac:dyDescent="0.25">
      <c r="A19" s="1"/>
      <c r="B19" s="1"/>
      <c r="C19" s="1"/>
      <c r="D19" s="16"/>
      <c r="E19" s="16"/>
      <c r="F19" s="17"/>
      <c r="G19" s="17"/>
      <c r="H19" s="18"/>
      <c r="I19" s="2"/>
      <c r="J19" s="2"/>
      <c r="K19" s="3"/>
      <c r="L19" s="2"/>
      <c r="M19" s="27"/>
      <c r="N19" s="21"/>
      <c r="O19" s="31"/>
      <c r="P19" s="3"/>
      <c r="Q19" s="3"/>
      <c r="R19" s="29"/>
      <c r="S19" s="29"/>
    </row>
    <row r="20" spans="1:19" x14ac:dyDescent="0.25">
      <c r="A20" s="1"/>
      <c r="B20" s="1"/>
      <c r="C20" s="1"/>
      <c r="D20" s="16"/>
      <c r="E20" s="16"/>
      <c r="F20" s="17"/>
      <c r="G20" s="17"/>
      <c r="H20" s="18"/>
      <c r="I20" s="2"/>
      <c r="J20" s="2"/>
      <c r="K20" s="3"/>
      <c r="L20" s="2"/>
      <c r="M20" s="27"/>
      <c r="N20" s="21"/>
      <c r="O20" s="31"/>
      <c r="P20" s="3"/>
      <c r="Q20" s="3"/>
      <c r="R20" s="29"/>
      <c r="S20" s="29"/>
    </row>
    <row r="21" spans="1:19" x14ac:dyDescent="0.25">
      <c r="A21" s="1"/>
      <c r="B21" s="1"/>
      <c r="C21" s="1"/>
      <c r="D21" s="16"/>
      <c r="E21" s="16"/>
      <c r="F21" s="17"/>
      <c r="G21" s="17"/>
      <c r="H21" s="18"/>
      <c r="I21" s="2"/>
      <c r="J21" s="2"/>
      <c r="K21" s="3"/>
      <c r="L21" s="2"/>
      <c r="M21" s="27"/>
      <c r="N21" s="21"/>
      <c r="O21" s="31"/>
      <c r="P21" s="3"/>
      <c r="Q21" s="3"/>
      <c r="R21" s="29"/>
      <c r="S21" s="29"/>
    </row>
    <row r="22" spans="1:19" x14ac:dyDescent="0.25">
      <c r="A22" s="1"/>
      <c r="B22" s="1"/>
      <c r="C22" s="1"/>
      <c r="D22" s="16"/>
      <c r="E22" s="16"/>
      <c r="F22" s="17"/>
      <c r="G22" s="17"/>
      <c r="H22" s="18"/>
      <c r="I22" s="2"/>
      <c r="J22" s="2"/>
      <c r="K22" s="3"/>
      <c r="L22" s="2"/>
      <c r="M22" s="27"/>
      <c r="N22" s="21"/>
      <c r="O22" s="31"/>
      <c r="P22" s="3"/>
      <c r="Q22" s="3"/>
      <c r="R22" s="29"/>
      <c r="S22" s="29"/>
    </row>
    <row r="23" spans="1:19" x14ac:dyDescent="0.25">
      <c r="A23" s="1"/>
      <c r="B23" s="1"/>
      <c r="C23" s="1"/>
      <c r="D23" s="16"/>
      <c r="E23" s="16"/>
      <c r="F23" s="17"/>
      <c r="G23" s="17"/>
      <c r="H23" s="18"/>
      <c r="I23" s="2"/>
      <c r="J23" s="2"/>
      <c r="K23" s="3"/>
      <c r="L23" s="2"/>
      <c r="M23" s="27"/>
      <c r="N23" s="21"/>
      <c r="O23" s="31"/>
      <c r="P23" s="3"/>
      <c r="Q23" s="3"/>
      <c r="R23" s="29"/>
      <c r="S23" s="29"/>
    </row>
    <row r="24" spans="1:19" x14ac:dyDescent="0.25">
      <c r="A24" s="1"/>
      <c r="B24" s="1"/>
      <c r="C24" s="1"/>
      <c r="D24" s="16"/>
      <c r="E24" s="16"/>
      <c r="F24" s="17"/>
      <c r="G24" s="17"/>
      <c r="H24" s="18"/>
      <c r="I24" s="2"/>
      <c r="J24" s="2"/>
      <c r="K24" s="3"/>
      <c r="L24" s="2"/>
      <c r="M24" s="27"/>
      <c r="N24" s="21"/>
      <c r="O24" s="31"/>
      <c r="P24" s="3"/>
      <c r="Q24" s="3"/>
      <c r="R24" s="29"/>
      <c r="S24" s="29"/>
    </row>
    <row r="25" spans="1:19" x14ac:dyDescent="0.25">
      <c r="A25" s="1"/>
      <c r="B25" s="1"/>
      <c r="C25" s="1"/>
      <c r="D25" s="16"/>
      <c r="E25" s="16"/>
      <c r="F25" s="17"/>
      <c r="G25" s="17"/>
      <c r="H25" s="18"/>
      <c r="I25" s="2"/>
      <c r="J25" s="2"/>
      <c r="K25" s="3"/>
      <c r="L25" s="2"/>
      <c r="M25" s="27"/>
      <c r="N25" s="21"/>
      <c r="O25" s="31"/>
      <c r="P25" s="3"/>
      <c r="Q25" s="3"/>
      <c r="R25" s="29"/>
      <c r="S25" s="29"/>
    </row>
    <row r="26" spans="1:19" x14ac:dyDescent="0.25">
      <c r="A26" s="1"/>
      <c r="B26" s="1"/>
      <c r="C26" s="1"/>
      <c r="D26" s="16"/>
      <c r="E26" s="16"/>
      <c r="F26" s="17"/>
      <c r="G26" s="17"/>
      <c r="H26" s="18"/>
      <c r="I26" s="2"/>
      <c r="J26" s="2"/>
      <c r="K26" s="3"/>
      <c r="L26" s="2"/>
      <c r="M26" s="27"/>
      <c r="N26" s="21"/>
      <c r="O26" s="31"/>
      <c r="P26" s="3"/>
      <c r="Q26" s="3"/>
      <c r="R26" s="29"/>
      <c r="S26" s="29"/>
    </row>
    <row r="27" spans="1:19" x14ac:dyDescent="0.25">
      <c r="A27" s="1"/>
      <c r="B27" s="1"/>
      <c r="C27" s="1"/>
      <c r="D27" s="16"/>
      <c r="E27" s="16"/>
      <c r="F27" s="17"/>
      <c r="G27" s="17"/>
      <c r="H27" s="18"/>
      <c r="I27" s="2"/>
      <c r="J27" s="2"/>
      <c r="K27" s="3"/>
      <c r="L27" s="2"/>
      <c r="M27" s="27"/>
      <c r="N27" s="21"/>
      <c r="O27" s="31"/>
      <c r="P27" s="3"/>
      <c r="Q27" s="3"/>
      <c r="R27" s="29"/>
      <c r="S27" s="29"/>
    </row>
    <row r="28" spans="1:19" x14ac:dyDescent="0.25">
      <c r="A28" s="1"/>
      <c r="B28" s="1"/>
      <c r="C28" s="1"/>
      <c r="D28" s="16"/>
      <c r="E28" s="16"/>
      <c r="F28" s="17"/>
      <c r="G28" s="17"/>
      <c r="H28" s="18"/>
      <c r="I28" s="2"/>
      <c r="J28" s="2"/>
      <c r="K28" s="3"/>
      <c r="L28" s="2"/>
      <c r="M28" s="27"/>
      <c r="N28" s="21"/>
      <c r="O28" s="31"/>
      <c r="P28" s="3"/>
      <c r="Q28" s="3"/>
      <c r="R28" s="29"/>
      <c r="S28" s="29"/>
    </row>
    <row r="29" spans="1:19" x14ac:dyDescent="0.25">
      <c r="A29" s="1"/>
      <c r="B29" s="1"/>
      <c r="C29" s="1"/>
      <c r="D29" s="16"/>
      <c r="E29" s="16"/>
      <c r="F29" s="17"/>
      <c r="G29" s="17"/>
      <c r="H29" s="18"/>
      <c r="I29" s="2"/>
      <c r="J29" s="2"/>
      <c r="K29" s="3"/>
      <c r="L29" s="2"/>
      <c r="M29" s="27"/>
      <c r="N29" s="21"/>
      <c r="O29" s="31"/>
      <c r="P29" s="3"/>
      <c r="Q29" s="3"/>
      <c r="R29" s="29"/>
      <c r="S29" s="29"/>
    </row>
    <row r="30" spans="1:19" x14ac:dyDescent="0.25">
      <c r="A30" s="1"/>
      <c r="B30" s="1"/>
      <c r="C30" s="1"/>
      <c r="D30" s="16"/>
      <c r="E30" s="16"/>
      <c r="F30" s="17"/>
      <c r="G30" s="17"/>
      <c r="H30" s="18"/>
      <c r="I30" s="2"/>
      <c r="J30" s="2"/>
      <c r="K30" s="3"/>
      <c r="L30" s="2"/>
      <c r="M30" s="27"/>
      <c r="N30" s="21"/>
      <c r="O30" s="31"/>
      <c r="P30" s="3"/>
      <c r="Q30" s="3"/>
      <c r="R30" s="29"/>
      <c r="S30" s="29"/>
    </row>
    <row r="31" spans="1:19" x14ac:dyDescent="0.25">
      <c r="A31" s="1"/>
      <c r="B31" s="1"/>
      <c r="C31" s="1"/>
      <c r="D31" s="16"/>
      <c r="E31" s="16"/>
      <c r="F31" s="17"/>
      <c r="G31" s="17"/>
      <c r="H31" s="18"/>
      <c r="I31" s="2"/>
      <c r="J31" s="2"/>
      <c r="K31" s="3"/>
      <c r="L31" s="2"/>
      <c r="M31" s="27"/>
      <c r="N31" s="21"/>
      <c r="O31" s="31"/>
      <c r="P31" s="3"/>
      <c r="Q31" s="3"/>
      <c r="R31" s="29"/>
      <c r="S31" s="29"/>
    </row>
    <row r="32" spans="1:19" x14ac:dyDescent="0.25">
      <c r="A32" s="1"/>
      <c r="B32" s="1"/>
      <c r="C32" s="1"/>
      <c r="D32" s="16"/>
      <c r="E32" s="16"/>
      <c r="F32" s="17"/>
      <c r="G32" s="17"/>
      <c r="H32" s="18"/>
      <c r="I32" s="2"/>
      <c r="J32" s="2"/>
      <c r="K32" s="3"/>
      <c r="L32" s="2"/>
      <c r="M32" s="27"/>
      <c r="N32" s="21"/>
      <c r="O32" s="31"/>
      <c r="P32" s="3"/>
      <c r="Q32" s="3"/>
      <c r="R32" s="29"/>
      <c r="S32" s="29"/>
    </row>
    <row r="33" spans="1:19" x14ac:dyDescent="0.25">
      <c r="A33" s="1"/>
      <c r="B33" s="1"/>
      <c r="C33" s="1"/>
      <c r="D33" s="16"/>
      <c r="E33" s="16"/>
      <c r="F33" s="17"/>
      <c r="G33" s="17"/>
      <c r="H33" s="18"/>
      <c r="I33" s="2"/>
      <c r="J33" s="2"/>
      <c r="K33" s="3"/>
      <c r="L33" s="2"/>
      <c r="M33" s="27"/>
      <c r="N33" s="21"/>
      <c r="O33" s="31"/>
      <c r="P33" s="3"/>
      <c r="Q33" s="3"/>
      <c r="R33" s="29"/>
      <c r="S33" s="29"/>
    </row>
    <row r="34" spans="1:19" x14ac:dyDescent="0.25">
      <c r="A34" s="1"/>
      <c r="B34" s="1"/>
      <c r="C34" s="1"/>
      <c r="D34" s="16"/>
      <c r="E34" s="16"/>
      <c r="F34" s="17"/>
      <c r="G34" s="17"/>
      <c r="H34" s="18"/>
      <c r="I34" s="2"/>
      <c r="J34" s="2"/>
      <c r="K34" s="3"/>
      <c r="L34" s="2"/>
      <c r="M34" s="27"/>
      <c r="N34" s="21"/>
      <c r="O34" s="31"/>
      <c r="P34" s="3"/>
      <c r="Q34" s="3"/>
      <c r="R34" s="29"/>
      <c r="S34" s="29"/>
    </row>
    <row r="35" spans="1:19" x14ac:dyDescent="0.25">
      <c r="A35" s="1"/>
      <c r="B35" s="1"/>
      <c r="C35" s="1"/>
      <c r="D35" s="16"/>
      <c r="E35" s="16"/>
      <c r="F35" s="17"/>
      <c r="G35" s="17"/>
      <c r="H35" s="18"/>
      <c r="I35" s="2"/>
      <c r="J35" s="2"/>
      <c r="K35" s="3"/>
      <c r="L35" s="2"/>
      <c r="M35" s="27"/>
      <c r="N35" s="21"/>
      <c r="O35" s="31"/>
      <c r="P35" s="3"/>
      <c r="Q35" s="3"/>
      <c r="R35" s="29"/>
      <c r="S35" s="29"/>
    </row>
    <row r="36" spans="1:19" x14ac:dyDescent="0.25">
      <c r="A36" s="1"/>
      <c r="B36" s="1"/>
      <c r="C36" s="1"/>
      <c r="D36" s="16"/>
      <c r="E36" s="16"/>
      <c r="F36" s="17"/>
      <c r="G36" s="17"/>
      <c r="H36" s="18"/>
      <c r="I36" s="2"/>
      <c r="J36" s="2"/>
      <c r="K36" s="3"/>
      <c r="L36" s="2"/>
      <c r="M36" s="27"/>
      <c r="N36" s="21"/>
      <c r="O36" s="31"/>
      <c r="P36" s="3"/>
      <c r="Q36" s="3"/>
      <c r="R36" s="29"/>
      <c r="S36" s="29"/>
    </row>
    <row r="37" spans="1:19" x14ac:dyDescent="0.25">
      <c r="A37" s="1"/>
      <c r="B37" s="1"/>
      <c r="C37" s="1"/>
      <c r="D37" s="16"/>
      <c r="E37" s="16"/>
      <c r="F37" s="17"/>
      <c r="G37" s="17"/>
      <c r="H37" s="18"/>
      <c r="I37" s="2"/>
      <c r="J37" s="2"/>
      <c r="K37" s="3"/>
      <c r="L37" s="2"/>
      <c r="M37" s="27"/>
      <c r="N37" s="21"/>
      <c r="O37" s="31"/>
      <c r="P37" s="3"/>
      <c r="Q37" s="3"/>
      <c r="R37" s="29"/>
      <c r="S37" s="29"/>
    </row>
    <row r="38" spans="1:19" x14ac:dyDescent="0.25">
      <c r="A38" s="1"/>
      <c r="B38" s="1"/>
      <c r="C38" s="1"/>
      <c r="D38" s="16"/>
      <c r="E38" s="16"/>
      <c r="F38" s="17"/>
      <c r="G38" s="17"/>
      <c r="H38" s="18"/>
      <c r="I38" s="2"/>
      <c r="J38" s="2"/>
      <c r="K38" s="3"/>
      <c r="L38" s="2"/>
      <c r="M38" s="27"/>
      <c r="N38" s="21"/>
      <c r="O38" s="31"/>
      <c r="P38" s="3"/>
      <c r="Q38" s="3"/>
      <c r="R38" s="29">
        <f t="shared" ref="R38" si="0">IF(O38=0,L38,L38-P38)</f>
        <v>0</v>
      </c>
      <c r="S38" s="29">
        <f t="shared" ref="S38" si="1">IF(O38=0,M38,M38-Q38)</f>
        <v>0</v>
      </c>
    </row>
    <row r="39" spans="1:19" s="34" customFormat="1" x14ac:dyDescent="0.25">
      <c r="A39" s="123"/>
      <c r="B39" s="123"/>
      <c r="C39" s="123"/>
      <c r="D39" s="123"/>
      <c r="E39" s="123"/>
      <c r="F39" s="123"/>
      <c r="G39" s="4">
        <f>SUM(G2:G38)</f>
        <v>0</v>
      </c>
      <c r="H39" s="5" t="s">
        <v>28</v>
      </c>
      <c r="I39" s="6" t="s">
        <v>28</v>
      </c>
      <c r="J39" s="5" t="s">
        <v>28</v>
      </c>
      <c r="K39" s="6" t="s">
        <v>28</v>
      </c>
      <c r="L39" s="25">
        <f>SUM(L2:L38)</f>
        <v>0</v>
      </c>
      <c r="M39" s="28">
        <f>SUM(M2:M38)</f>
        <v>0</v>
      </c>
      <c r="N39" s="32" t="s">
        <v>28</v>
      </c>
      <c r="O39" s="32" t="s">
        <v>28</v>
      </c>
      <c r="P39" s="33">
        <f>SUM(P2:P38)</f>
        <v>0</v>
      </c>
      <c r="Q39" s="33">
        <f t="shared" ref="Q39:S39" si="2">SUM(Q2:Q38)</f>
        <v>0</v>
      </c>
      <c r="R39" s="33">
        <f t="shared" si="2"/>
        <v>0</v>
      </c>
      <c r="S39" s="33">
        <f t="shared" si="2"/>
        <v>0</v>
      </c>
    </row>
  </sheetData>
  <mergeCells count="1">
    <mergeCell ref="A39:F39"/>
  </mergeCells>
  <conditionalFormatting sqref="N2:N38">
    <cfRule type="cellIs" dxfId="2" priority="1" operator="greaterThan">
      <formula>#REF!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70" zoomScaleNormal="70" workbookViewId="0">
      <selection activeCell="M47" sqref="M47"/>
    </sheetView>
  </sheetViews>
  <sheetFormatPr defaultRowHeight="15.75" x14ac:dyDescent="0.25"/>
  <cols>
    <col min="1" max="3" width="24" customWidth="1"/>
    <col min="4" max="9" width="11.5" customWidth="1"/>
    <col min="10" max="10" width="12.625" customWidth="1"/>
    <col min="11" max="11" width="13.5" customWidth="1"/>
    <col min="12" max="12" width="14.375" customWidth="1"/>
    <col min="13" max="13" width="15.625" customWidth="1"/>
    <col min="14" max="14" width="14.5" customWidth="1"/>
    <col min="15" max="15" width="17" customWidth="1"/>
    <col min="16" max="16" width="16.375" customWidth="1"/>
    <col min="17" max="17" width="19.25" customWidth="1"/>
    <col min="18" max="18" width="18.25" customWidth="1"/>
    <col min="19" max="19" width="16.25" customWidth="1"/>
  </cols>
  <sheetData>
    <row r="1" spans="1:19" s="74" customFormat="1" ht="99.75" customHeight="1" x14ac:dyDescent="0.25">
      <c r="A1" s="11" t="s">
        <v>24</v>
      </c>
      <c r="B1" s="11" t="s">
        <v>25</v>
      </c>
      <c r="C1" s="11" t="s">
        <v>7</v>
      </c>
      <c r="D1" s="12" t="s">
        <v>6</v>
      </c>
      <c r="E1" s="12" t="s">
        <v>35</v>
      </c>
      <c r="F1" s="12" t="s">
        <v>29</v>
      </c>
      <c r="G1" s="12" t="s">
        <v>26</v>
      </c>
      <c r="H1" s="13" t="s">
        <v>30</v>
      </c>
      <c r="I1" s="14" t="s">
        <v>27</v>
      </c>
      <c r="J1" s="14" t="s">
        <v>36</v>
      </c>
      <c r="K1" s="23" t="s">
        <v>37</v>
      </c>
      <c r="L1" s="14" t="s">
        <v>31</v>
      </c>
      <c r="M1" s="14" t="s">
        <v>43</v>
      </c>
      <c r="N1" s="20" t="s">
        <v>38</v>
      </c>
      <c r="O1" s="72" t="s">
        <v>56</v>
      </c>
      <c r="P1" s="14" t="s">
        <v>57</v>
      </c>
      <c r="Q1" s="14" t="s">
        <v>58</v>
      </c>
      <c r="R1" s="14" t="s">
        <v>59</v>
      </c>
      <c r="S1" s="14" t="s">
        <v>60</v>
      </c>
    </row>
    <row r="2" spans="1:19" x14ac:dyDescent="0.25">
      <c r="A2" s="1"/>
      <c r="B2" s="1"/>
      <c r="C2" s="1"/>
      <c r="D2" s="16"/>
      <c r="E2" s="16"/>
      <c r="F2" s="17"/>
      <c r="G2" s="17"/>
      <c r="H2" s="18"/>
      <c r="I2" s="2"/>
      <c r="J2" s="2"/>
      <c r="K2" s="3"/>
      <c r="L2" s="2"/>
      <c r="M2" s="27"/>
      <c r="N2" s="21"/>
      <c r="O2" s="31">
        <v>7</v>
      </c>
      <c r="P2" s="29"/>
      <c r="Q2" s="29"/>
      <c r="R2" s="29"/>
      <c r="S2" s="29"/>
    </row>
    <row r="3" spans="1:19" x14ac:dyDescent="0.25">
      <c r="A3" s="1"/>
      <c r="B3" s="1"/>
      <c r="C3" s="1"/>
      <c r="D3" s="16"/>
      <c r="E3" s="16"/>
      <c r="F3" s="17"/>
      <c r="G3" s="17"/>
      <c r="H3" s="18"/>
      <c r="I3" s="2"/>
      <c r="J3" s="2"/>
      <c r="K3" s="3"/>
      <c r="L3" s="2"/>
      <c r="M3" s="27"/>
      <c r="N3" s="21"/>
      <c r="O3" s="31">
        <v>0</v>
      </c>
      <c r="P3" s="29"/>
      <c r="Q3" s="29"/>
      <c r="R3" s="29"/>
      <c r="S3" s="29"/>
    </row>
    <row r="4" spans="1:19" x14ac:dyDescent="0.25">
      <c r="A4" s="1"/>
      <c r="B4" s="1"/>
      <c r="C4" s="1"/>
      <c r="D4" s="16"/>
      <c r="E4" s="16"/>
      <c r="F4" s="17"/>
      <c r="G4" s="17"/>
      <c r="H4" s="18"/>
      <c r="I4" s="2"/>
      <c r="J4" s="2"/>
      <c r="K4" s="3"/>
      <c r="L4" s="2"/>
      <c r="M4" s="27"/>
      <c r="N4" s="21"/>
      <c r="O4" s="31"/>
      <c r="P4" s="29"/>
      <c r="Q4" s="29"/>
      <c r="R4" s="29"/>
      <c r="S4" s="29"/>
    </row>
    <row r="5" spans="1:19" x14ac:dyDescent="0.25">
      <c r="A5" s="1"/>
      <c r="B5" s="1"/>
      <c r="C5" s="1"/>
      <c r="D5" s="16"/>
      <c r="E5" s="16"/>
      <c r="F5" s="17"/>
      <c r="G5" s="17"/>
      <c r="H5" s="18"/>
      <c r="I5" s="2"/>
      <c r="J5" s="2"/>
      <c r="K5" s="3"/>
      <c r="L5" s="2"/>
      <c r="M5" s="27"/>
      <c r="N5" s="21"/>
      <c r="O5" s="31"/>
      <c r="P5" s="29"/>
      <c r="Q5" s="29"/>
      <c r="R5" s="29"/>
      <c r="S5" s="29"/>
    </row>
    <row r="6" spans="1:19" x14ac:dyDescent="0.25">
      <c r="A6" s="1"/>
      <c r="B6" s="1"/>
      <c r="C6" s="1"/>
      <c r="D6" s="16"/>
      <c r="E6" s="16"/>
      <c r="F6" s="17"/>
      <c r="G6" s="17"/>
      <c r="H6" s="18"/>
      <c r="I6" s="2"/>
      <c r="J6" s="2"/>
      <c r="K6" s="3"/>
      <c r="L6" s="2"/>
      <c r="M6" s="27"/>
      <c r="N6" s="21"/>
      <c r="O6" s="31"/>
      <c r="P6" s="29"/>
      <c r="Q6" s="29"/>
      <c r="R6" s="29"/>
      <c r="S6" s="29"/>
    </row>
    <row r="7" spans="1:19" x14ac:dyDescent="0.25">
      <c r="A7" s="1"/>
      <c r="B7" s="1"/>
      <c r="C7" s="1"/>
      <c r="D7" s="16"/>
      <c r="E7" s="16"/>
      <c r="F7" s="17"/>
      <c r="G7" s="17"/>
      <c r="H7" s="18"/>
      <c r="I7" s="2"/>
      <c r="J7" s="2"/>
      <c r="K7" s="3"/>
      <c r="L7" s="2"/>
      <c r="M7" s="27"/>
      <c r="N7" s="21"/>
      <c r="O7" s="31"/>
      <c r="P7" s="29"/>
      <c r="Q7" s="29"/>
      <c r="R7" s="29"/>
      <c r="S7" s="29"/>
    </row>
    <row r="8" spans="1:19" x14ac:dyDescent="0.25">
      <c r="A8" s="1"/>
      <c r="B8" s="1"/>
      <c r="C8" s="1"/>
      <c r="D8" s="16"/>
      <c r="E8" s="16"/>
      <c r="F8" s="17"/>
      <c r="G8" s="17"/>
      <c r="H8" s="18"/>
      <c r="I8" s="2"/>
      <c r="J8" s="2"/>
      <c r="K8" s="3"/>
      <c r="L8" s="2"/>
      <c r="M8" s="27"/>
      <c r="N8" s="21"/>
      <c r="O8" s="31"/>
      <c r="P8" s="29"/>
      <c r="Q8" s="29"/>
      <c r="R8" s="29"/>
      <c r="S8" s="29"/>
    </row>
    <row r="9" spans="1:19" x14ac:dyDescent="0.25">
      <c r="A9" s="1"/>
      <c r="B9" s="1"/>
      <c r="C9" s="1"/>
      <c r="D9" s="16"/>
      <c r="E9" s="16"/>
      <c r="F9" s="17"/>
      <c r="G9" s="17"/>
      <c r="H9" s="18"/>
      <c r="I9" s="2"/>
      <c r="J9" s="2"/>
      <c r="K9" s="3"/>
      <c r="L9" s="2"/>
      <c r="M9" s="27"/>
      <c r="N9" s="21"/>
      <c r="O9" s="31"/>
      <c r="P9" s="29"/>
      <c r="Q9" s="29"/>
      <c r="R9" s="29"/>
      <c r="S9" s="29"/>
    </row>
    <row r="10" spans="1:19" x14ac:dyDescent="0.25">
      <c r="A10" s="1"/>
      <c r="B10" s="1"/>
      <c r="C10" s="1"/>
      <c r="D10" s="16"/>
      <c r="E10" s="16"/>
      <c r="F10" s="17"/>
      <c r="G10" s="17"/>
      <c r="H10" s="18"/>
      <c r="I10" s="2"/>
      <c r="J10" s="2"/>
      <c r="K10" s="3"/>
      <c r="L10" s="2"/>
      <c r="M10" s="27"/>
      <c r="N10" s="21"/>
      <c r="O10" s="31"/>
      <c r="P10" s="29"/>
      <c r="Q10" s="29"/>
      <c r="R10" s="29"/>
      <c r="S10" s="29"/>
    </row>
    <row r="11" spans="1:19" x14ac:dyDescent="0.25">
      <c r="A11" s="1"/>
      <c r="B11" s="1"/>
      <c r="C11" s="1"/>
      <c r="D11" s="16"/>
      <c r="E11" s="16"/>
      <c r="F11" s="17"/>
      <c r="G11" s="17"/>
      <c r="H11" s="18"/>
      <c r="I11" s="2"/>
      <c r="J11" s="2"/>
      <c r="K11" s="3"/>
      <c r="L11" s="2"/>
      <c r="M11" s="27"/>
      <c r="N11" s="21"/>
      <c r="O11" s="31"/>
      <c r="P11" s="29"/>
      <c r="Q11" s="29"/>
      <c r="R11" s="29"/>
      <c r="S11" s="29"/>
    </row>
    <row r="12" spans="1:19" x14ac:dyDescent="0.25">
      <c r="A12" s="1"/>
      <c r="B12" s="1"/>
      <c r="C12" s="1"/>
      <c r="D12" s="16"/>
      <c r="E12" s="16"/>
      <c r="F12" s="17"/>
      <c r="G12" s="17"/>
      <c r="H12" s="18"/>
      <c r="I12" s="2"/>
      <c r="J12" s="2"/>
      <c r="K12" s="3"/>
      <c r="L12" s="2"/>
      <c r="M12" s="27"/>
      <c r="N12" s="21"/>
      <c r="O12" s="31"/>
      <c r="P12" s="29"/>
      <c r="Q12" s="29"/>
      <c r="R12" s="29"/>
      <c r="S12" s="29"/>
    </row>
    <row r="13" spans="1:19" x14ac:dyDescent="0.25">
      <c r="A13" s="1"/>
      <c r="B13" s="1"/>
      <c r="C13" s="1"/>
      <c r="D13" s="16"/>
      <c r="E13" s="16"/>
      <c r="F13" s="17"/>
      <c r="G13" s="17"/>
      <c r="H13" s="18"/>
      <c r="I13" s="2"/>
      <c r="J13" s="2"/>
      <c r="K13" s="3"/>
      <c r="L13" s="2"/>
      <c r="M13" s="27"/>
      <c r="N13" s="21"/>
      <c r="O13" s="31"/>
      <c r="P13" s="29"/>
      <c r="Q13" s="29"/>
      <c r="R13" s="29"/>
      <c r="S13" s="29"/>
    </row>
    <row r="14" spans="1:19" x14ac:dyDescent="0.25">
      <c r="A14" s="1"/>
      <c r="B14" s="1"/>
      <c r="C14" s="1"/>
      <c r="D14" s="16"/>
      <c r="E14" s="16"/>
      <c r="F14" s="17"/>
      <c r="G14" s="17"/>
      <c r="H14" s="18"/>
      <c r="I14" s="2"/>
      <c r="J14" s="2"/>
      <c r="K14" s="3"/>
      <c r="L14" s="2"/>
      <c r="M14" s="27"/>
      <c r="N14" s="21"/>
      <c r="O14" s="31"/>
      <c r="P14" s="29"/>
      <c r="Q14" s="29"/>
      <c r="R14" s="29"/>
      <c r="S14" s="29"/>
    </row>
    <row r="15" spans="1:19" x14ac:dyDescent="0.25">
      <c r="A15" s="1"/>
      <c r="B15" s="1"/>
      <c r="C15" s="1"/>
      <c r="D15" s="16"/>
      <c r="E15" s="16"/>
      <c r="F15" s="17"/>
      <c r="G15" s="17"/>
      <c r="H15" s="18"/>
      <c r="I15" s="2"/>
      <c r="J15" s="2"/>
      <c r="K15" s="3"/>
      <c r="L15" s="2"/>
      <c r="M15" s="27"/>
      <c r="N15" s="21"/>
      <c r="O15" s="31"/>
      <c r="P15" s="29"/>
      <c r="Q15" s="29"/>
      <c r="R15" s="29"/>
      <c r="S15" s="29"/>
    </row>
    <row r="16" spans="1:19" x14ac:dyDescent="0.25">
      <c r="A16" s="1"/>
      <c r="B16" s="1"/>
      <c r="C16" s="1"/>
      <c r="D16" s="16"/>
      <c r="E16" s="16"/>
      <c r="F16" s="17"/>
      <c r="G16" s="17"/>
      <c r="H16" s="18"/>
      <c r="I16" s="2"/>
      <c r="J16" s="2"/>
      <c r="K16" s="3"/>
      <c r="L16" s="2"/>
      <c r="M16" s="27"/>
      <c r="N16" s="21"/>
      <c r="O16" s="31"/>
      <c r="P16" s="29"/>
      <c r="Q16" s="29"/>
      <c r="R16" s="29"/>
      <c r="S16" s="29"/>
    </row>
    <row r="17" spans="1:19" x14ac:dyDescent="0.25">
      <c r="A17" s="1"/>
      <c r="B17" s="1"/>
      <c r="C17" s="1"/>
      <c r="D17" s="16"/>
      <c r="E17" s="16"/>
      <c r="F17" s="17"/>
      <c r="G17" s="17"/>
      <c r="H17" s="18"/>
      <c r="I17" s="2"/>
      <c r="J17" s="2"/>
      <c r="K17" s="3"/>
      <c r="L17" s="2"/>
      <c r="M17" s="27"/>
      <c r="N17" s="21"/>
      <c r="O17" s="31"/>
      <c r="P17" s="29"/>
      <c r="Q17" s="29"/>
      <c r="R17" s="29"/>
      <c r="S17" s="29"/>
    </row>
    <row r="18" spans="1:19" x14ac:dyDescent="0.25">
      <c r="A18" s="1"/>
      <c r="B18" s="1"/>
      <c r="C18" s="1"/>
      <c r="D18" s="16"/>
      <c r="E18" s="16"/>
      <c r="F18" s="17"/>
      <c r="G18" s="17"/>
      <c r="H18" s="18"/>
      <c r="I18" s="2"/>
      <c r="J18" s="2"/>
      <c r="K18" s="3"/>
      <c r="L18" s="2"/>
      <c r="M18" s="27"/>
      <c r="N18" s="21"/>
      <c r="O18" s="31"/>
      <c r="P18" s="29"/>
      <c r="Q18" s="29"/>
      <c r="R18" s="29"/>
      <c r="S18" s="29"/>
    </row>
    <row r="19" spans="1:19" x14ac:dyDescent="0.25">
      <c r="A19" s="1"/>
      <c r="B19" s="1"/>
      <c r="C19" s="1"/>
      <c r="D19" s="16"/>
      <c r="E19" s="16"/>
      <c r="F19" s="17"/>
      <c r="G19" s="17"/>
      <c r="H19" s="18"/>
      <c r="I19" s="2"/>
      <c r="J19" s="2"/>
      <c r="K19" s="3"/>
      <c r="L19" s="2"/>
      <c r="M19" s="27"/>
      <c r="N19" s="21"/>
      <c r="O19" s="31"/>
      <c r="P19" s="29"/>
      <c r="Q19" s="29"/>
      <c r="R19" s="29"/>
      <c r="S19" s="29"/>
    </row>
    <row r="20" spans="1:19" x14ac:dyDescent="0.25">
      <c r="A20" s="1"/>
      <c r="B20" s="1"/>
      <c r="C20" s="1"/>
      <c r="D20" s="16"/>
      <c r="E20" s="16"/>
      <c r="F20" s="17"/>
      <c r="G20" s="17"/>
      <c r="H20" s="18"/>
      <c r="I20" s="2"/>
      <c r="J20" s="2"/>
      <c r="K20" s="3"/>
      <c r="L20" s="2"/>
      <c r="M20" s="27"/>
      <c r="N20" s="21"/>
      <c r="O20" s="31"/>
      <c r="P20" s="29"/>
      <c r="Q20" s="29"/>
      <c r="R20" s="29"/>
      <c r="S20" s="29"/>
    </row>
    <row r="21" spans="1:19" x14ac:dyDescent="0.25">
      <c r="A21" s="1"/>
      <c r="B21" s="1"/>
      <c r="C21" s="1"/>
      <c r="D21" s="16"/>
      <c r="E21" s="16"/>
      <c r="F21" s="17"/>
      <c r="G21" s="17"/>
      <c r="H21" s="18"/>
      <c r="I21" s="2"/>
      <c r="J21" s="2"/>
      <c r="K21" s="3"/>
      <c r="L21" s="2"/>
      <c r="M21" s="27"/>
      <c r="N21" s="21"/>
      <c r="O21" s="31"/>
      <c r="P21" s="29"/>
      <c r="Q21" s="29"/>
      <c r="R21" s="29"/>
      <c r="S21" s="29"/>
    </row>
    <row r="22" spans="1:19" x14ac:dyDescent="0.25">
      <c r="A22" s="1"/>
      <c r="B22" s="1"/>
      <c r="C22" s="1"/>
      <c r="D22" s="16"/>
      <c r="E22" s="16"/>
      <c r="F22" s="17"/>
      <c r="G22" s="17"/>
      <c r="H22" s="18"/>
      <c r="I22" s="2"/>
      <c r="J22" s="2"/>
      <c r="K22" s="3"/>
      <c r="L22" s="2"/>
      <c r="M22" s="27"/>
      <c r="N22" s="21"/>
      <c r="O22" s="31"/>
      <c r="P22" s="29"/>
      <c r="Q22" s="29"/>
      <c r="R22" s="29"/>
      <c r="S22" s="29"/>
    </row>
    <row r="23" spans="1:19" x14ac:dyDescent="0.25">
      <c r="A23" s="1"/>
      <c r="B23" s="1"/>
      <c r="C23" s="1"/>
      <c r="D23" s="16"/>
      <c r="E23" s="16"/>
      <c r="F23" s="17"/>
      <c r="G23" s="17"/>
      <c r="H23" s="18"/>
      <c r="I23" s="2"/>
      <c r="J23" s="2"/>
      <c r="K23" s="3"/>
      <c r="L23" s="2"/>
      <c r="M23" s="27"/>
      <c r="N23" s="21"/>
      <c r="O23" s="31"/>
      <c r="P23" s="29"/>
      <c r="Q23" s="29"/>
      <c r="R23" s="29"/>
      <c r="S23" s="29"/>
    </row>
    <row r="24" spans="1:19" x14ac:dyDescent="0.25">
      <c r="A24" s="1"/>
      <c r="B24" s="1"/>
      <c r="C24" s="1"/>
      <c r="D24" s="16"/>
      <c r="E24" s="16"/>
      <c r="F24" s="17"/>
      <c r="G24" s="17"/>
      <c r="H24" s="18"/>
      <c r="I24" s="2"/>
      <c r="J24" s="2"/>
      <c r="K24" s="3"/>
      <c r="L24" s="2"/>
      <c r="M24" s="27"/>
      <c r="N24" s="21"/>
      <c r="O24" s="31"/>
      <c r="P24" s="29"/>
      <c r="Q24" s="29"/>
      <c r="R24" s="29"/>
      <c r="S24" s="29"/>
    </row>
    <row r="25" spans="1:19" x14ac:dyDescent="0.25">
      <c r="A25" s="1"/>
      <c r="B25" s="1"/>
      <c r="C25" s="1"/>
      <c r="D25" s="16"/>
      <c r="E25" s="16"/>
      <c r="F25" s="17"/>
      <c r="G25" s="17"/>
      <c r="H25" s="18"/>
      <c r="I25" s="2"/>
      <c r="J25" s="2"/>
      <c r="K25" s="3"/>
      <c r="L25" s="2"/>
      <c r="M25" s="27"/>
      <c r="N25" s="21"/>
      <c r="O25" s="31"/>
      <c r="P25" s="29"/>
      <c r="Q25" s="29"/>
      <c r="R25" s="29"/>
      <c r="S25" s="29"/>
    </row>
    <row r="26" spans="1:19" x14ac:dyDescent="0.25">
      <c r="A26" s="1"/>
      <c r="B26" s="1"/>
      <c r="C26" s="1"/>
      <c r="D26" s="16"/>
      <c r="E26" s="16"/>
      <c r="F26" s="17"/>
      <c r="G26" s="17"/>
      <c r="H26" s="18"/>
      <c r="I26" s="2"/>
      <c r="J26" s="2"/>
      <c r="K26" s="3"/>
      <c r="L26" s="2"/>
      <c r="M26" s="27"/>
      <c r="N26" s="21"/>
      <c r="O26" s="31"/>
      <c r="P26" s="29"/>
      <c r="Q26" s="29"/>
      <c r="R26" s="29"/>
      <c r="S26" s="29"/>
    </row>
    <row r="27" spans="1:19" x14ac:dyDescent="0.25">
      <c r="A27" s="1"/>
      <c r="B27" s="1"/>
      <c r="C27" s="1"/>
      <c r="D27" s="16"/>
      <c r="E27" s="16"/>
      <c r="F27" s="17"/>
      <c r="G27" s="17"/>
      <c r="H27" s="18"/>
      <c r="I27" s="2"/>
      <c r="J27" s="2"/>
      <c r="K27" s="3"/>
      <c r="L27" s="2"/>
      <c r="M27" s="27"/>
      <c r="N27" s="21"/>
      <c r="O27" s="31"/>
      <c r="P27" s="29"/>
      <c r="Q27" s="29"/>
      <c r="R27" s="29"/>
      <c r="S27" s="29"/>
    </row>
    <row r="28" spans="1:19" x14ac:dyDescent="0.25">
      <c r="A28" s="1"/>
      <c r="B28" s="1"/>
      <c r="C28" s="1"/>
      <c r="D28" s="16"/>
      <c r="E28" s="16"/>
      <c r="F28" s="17"/>
      <c r="G28" s="17"/>
      <c r="H28" s="18"/>
      <c r="I28" s="2"/>
      <c r="J28" s="2"/>
      <c r="K28" s="3"/>
      <c r="L28" s="2"/>
      <c r="M28" s="27"/>
      <c r="N28" s="21"/>
      <c r="O28" s="31"/>
      <c r="P28" s="29"/>
      <c r="Q28" s="29"/>
      <c r="R28" s="29"/>
      <c r="S28" s="29"/>
    </row>
    <row r="29" spans="1:19" x14ac:dyDescent="0.25">
      <c r="A29" s="1"/>
      <c r="B29" s="1"/>
      <c r="C29" s="1"/>
      <c r="D29" s="16"/>
      <c r="E29" s="16"/>
      <c r="F29" s="17"/>
      <c r="G29" s="17"/>
      <c r="H29" s="18"/>
      <c r="I29" s="2"/>
      <c r="J29" s="2"/>
      <c r="K29" s="3"/>
      <c r="L29" s="2"/>
      <c r="M29" s="27"/>
      <c r="N29" s="21"/>
      <c r="O29" s="31"/>
      <c r="P29" s="29"/>
      <c r="Q29" s="29"/>
      <c r="R29" s="29"/>
      <c r="S29" s="29"/>
    </row>
    <row r="30" spans="1:19" x14ac:dyDescent="0.25">
      <c r="A30" s="1"/>
      <c r="B30" s="1"/>
      <c r="C30" s="1"/>
      <c r="D30" s="16"/>
      <c r="E30" s="16"/>
      <c r="F30" s="17"/>
      <c r="G30" s="17"/>
      <c r="H30" s="18"/>
      <c r="I30" s="2"/>
      <c r="J30" s="2"/>
      <c r="K30" s="3"/>
      <c r="L30" s="2"/>
      <c r="M30" s="27"/>
      <c r="N30" s="21"/>
      <c r="O30" s="31"/>
      <c r="P30" s="29"/>
      <c r="Q30" s="29"/>
      <c r="R30" s="29"/>
      <c r="S30" s="29"/>
    </row>
    <row r="31" spans="1:19" x14ac:dyDescent="0.25">
      <c r="A31" s="1"/>
      <c r="B31" s="1"/>
      <c r="C31" s="1"/>
      <c r="D31" s="16"/>
      <c r="E31" s="16"/>
      <c r="F31" s="17"/>
      <c r="G31" s="17"/>
      <c r="H31" s="18"/>
      <c r="I31" s="2"/>
      <c r="J31" s="2"/>
      <c r="K31" s="3"/>
      <c r="L31" s="2"/>
      <c r="M31" s="27"/>
      <c r="N31" s="21"/>
      <c r="O31" s="31"/>
      <c r="P31" s="29"/>
      <c r="Q31" s="29"/>
      <c r="R31" s="29"/>
      <c r="S31" s="29"/>
    </row>
    <row r="32" spans="1:19" x14ac:dyDescent="0.25">
      <c r="A32" s="1"/>
      <c r="B32" s="1"/>
      <c r="C32" s="1"/>
      <c r="D32" s="16"/>
      <c r="E32" s="16"/>
      <c r="F32" s="17"/>
      <c r="G32" s="17"/>
      <c r="H32" s="18"/>
      <c r="I32" s="2"/>
      <c r="J32" s="2"/>
      <c r="K32" s="3"/>
      <c r="L32" s="2"/>
      <c r="M32" s="27"/>
      <c r="N32" s="21"/>
      <c r="O32" s="31"/>
      <c r="P32" s="29"/>
      <c r="Q32" s="29"/>
      <c r="R32" s="29"/>
      <c r="S32" s="29"/>
    </row>
    <row r="33" spans="1:19" x14ac:dyDescent="0.25">
      <c r="A33" s="1"/>
      <c r="B33" s="1"/>
      <c r="C33" s="1"/>
      <c r="D33" s="16"/>
      <c r="E33" s="16"/>
      <c r="F33" s="17"/>
      <c r="G33" s="17"/>
      <c r="H33" s="18"/>
      <c r="I33" s="2"/>
      <c r="J33" s="2"/>
      <c r="K33" s="3"/>
      <c r="L33" s="2"/>
      <c r="M33" s="27"/>
      <c r="N33" s="21"/>
      <c r="O33" s="31"/>
      <c r="P33" s="29"/>
      <c r="Q33" s="29"/>
      <c r="R33" s="29"/>
      <c r="S33" s="29"/>
    </row>
    <row r="34" spans="1:19" x14ac:dyDescent="0.25">
      <c r="A34" s="1"/>
      <c r="B34" s="1"/>
      <c r="C34" s="1"/>
      <c r="D34" s="16"/>
      <c r="E34" s="16"/>
      <c r="F34" s="17"/>
      <c r="G34" s="17"/>
      <c r="H34" s="18"/>
      <c r="I34" s="2"/>
      <c r="J34" s="2"/>
      <c r="K34" s="3"/>
      <c r="L34" s="2"/>
      <c r="M34" s="27"/>
      <c r="N34" s="21"/>
      <c r="O34" s="31"/>
      <c r="P34" s="29"/>
      <c r="Q34" s="29"/>
      <c r="R34" s="29"/>
      <c r="S34" s="29"/>
    </row>
    <row r="35" spans="1:19" x14ac:dyDescent="0.25">
      <c r="A35" s="1"/>
      <c r="B35" s="1"/>
      <c r="C35" s="1"/>
      <c r="D35" s="16"/>
      <c r="E35" s="16"/>
      <c r="F35" s="17"/>
      <c r="G35" s="17"/>
      <c r="H35" s="18"/>
      <c r="I35" s="2"/>
      <c r="J35" s="2"/>
      <c r="K35" s="3"/>
      <c r="L35" s="2"/>
      <c r="M35" s="27"/>
      <c r="N35" s="21"/>
      <c r="O35" s="31"/>
      <c r="P35" s="29"/>
      <c r="Q35" s="29"/>
      <c r="R35" s="29"/>
      <c r="S35" s="29"/>
    </row>
    <row r="36" spans="1:19" x14ac:dyDescent="0.25">
      <c r="A36" s="1"/>
      <c r="B36" s="1"/>
      <c r="C36" s="1"/>
      <c r="D36" s="16"/>
      <c r="E36" s="16"/>
      <c r="F36" s="17"/>
      <c r="G36" s="17"/>
      <c r="H36" s="18"/>
      <c r="I36" s="2"/>
      <c r="J36" s="2"/>
      <c r="K36" s="3"/>
      <c r="L36" s="2"/>
      <c r="M36" s="27"/>
      <c r="N36" s="21"/>
      <c r="O36" s="31"/>
      <c r="P36" s="29"/>
      <c r="Q36" s="29"/>
      <c r="R36" s="29"/>
      <c r="S36" s="29"/>
    </row>
    <row r="37" spans="1:19" x14ac:dyDescent="0.25">
      <c r="A37" s="1"/>
      <c r="B37" s="1"/>
      <c r="C37" s="1"/>
      <c r="D37" s="16"/>
      <c r="E37" s="16"/>
      <c r="F37" s="17"/>
      <c r="G37" s="17"/>
      <c r="H37" s="18"/>
      <c r="I37" s="2"/>
      <c r="J37" s="2"/>
      <c r="K37" s="3"/>
      <c r="L37" s="2"/>
      <c r="M37" s="27"/>
      <c r="N37" s="21"/>
      <c r="O37" s="31"/>
      <c r="P37" s="29"/>
      <c r="Q37" s="29"/>
      <c r="R37" s="29"/>
      <c r="S37" s="29"/>
    </row>
    <row r="38" spans="1:19" x14ac:dyDescent="0.25">
      <c r="A38" s="1"/>
      <c r="B38" s="1"/>
      <c r="C38" s="1"/>
      <c r="D38" s="16"/>
      <c r="E38" s="16"/>
      <c r="F38" s="17"/>
      <c r="G38" s="17"/>
      <c r="H38" s="18"/>
      <c r="I38" s="2"/>
      <c r="J38" s="2"/>
      <c r="K38" s="3"/>
      <c r="L38" s="2"/>
      <c r="M38" s="27"/>
      <c r="N38" s="21"/>
      <c r="O38" s="31"/>
      <c r="P38" s="29"/>
      <c r="Q38" s="29"/>
      <c r="R38" s="29">
        <f t="shared" ref="R38" si="0">IF(O38=0,L38,L38-P38)</f>
        <v>0</v>
      </c>
      <c r="S38" s="29">
        <f t="shared" ref="S38" si="1">IF(O38=0,M38,M38-Q38)</f>
        <v>0</v>
      </c>
    </row>
    <row r="39" spans="1:19" s="34" customFormat="1" x14ac:dyDescent="0.25">
      <c r="A39" s="123"/>
      <c r="B39" s="123"/>
      <c r="C39" s="123"/>
      <c r="D39" s="123"/>
      <c r="E39" s="123"/>
      <c r="F39" s="123"/>
      <c r="G39" s="4">
        <f>SUM(G2:G38)</f>
        <v>0</v>
      </c>
      <c r="H39" s="5" t="s">
        <v>28</v>
      </c>
      <c r="I39" s="6" t="s">
        <v>28</v>
      </c>
      <c r="J39" s="5" t="s">
        <v>28</v>
      </c>
      <c r="K39" s="6" t="s">
        <v>28</v>
      </c>
      <c r="L39" s="25">
        <f>SUM(L2:L38)</f>
        <v>0</v>
      </c>
      <c r="M39" s="28">
        <f>SUM(M2:M38)</f>
        <v>0</v>
      </c>
      <c r="N39" s="32" t="s">
        <v>28</v>
      </c>
      <c r="O39" s="32" t="s">
        <v>28</v>
      </c>
      <c r="P39" s="33">
        <f>SUM(P2:P38)</f>
        <v>0</v>
      </c>
      <c r="Q39" s="35">
        <f t="shared" ref="Q39:S39" si="2">SUM(Q2:Q38)</f>
        <v>0</v>
      </c>
      <c r="R39" s="35">
        <f t="shared" si="2"/>
        <v>0</v>
      </c>
      <c r="S39" s="35">
        <f t="shared" si="2"/>
        <v>0</v>
      </c>
    </row>
  </sheetData>
  <mergeCells count="1">
    <mergeCell ref="A39:F39"/>
  </mergeCells>
  <conditionalFormatting sqref="N2:N38">
    <cfRule type="cellIs" dxfId="1" priority="1" operator="greaterThan">
      <formula>#REF!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70" zoomScaleNormal="70" workbookViewId="0">
      <selection activeCell="P3" sqref="P3"/>
    </sheetView>
  </sheetViews>
  <sheetFormatPr defaultRowHeight="15.75" x14ac:dyDescent="0.25"/>
  <cols>
    <col min="1" max="2" width="19" customWidth="1"/>
    <col min="3" max="3" width="24.75" customWidth="1"/>
    <col min="4" max="4" width="11.125" customWidth="1"/>
    <col min="5" max="5" width="11.875" customWidth="1"/>
    <col min="6" max="6" width="11.625" customWidth="1"/>
    <col min="7" max="7" width="11.875" customWidth="1"/>
    <col min="8" max="8" width="10.375" customWidth="1"/>
    <col min="9" max="9" width="11.5" customWidth="1"/>
    <col min="10" max="12" width="12.625" customWidth="1"/>
    <col min="13" max="13" width="15.625" customWidth="1"/>
    <col min="14" max="14" width="13.75" customWidth="1"/>
    <col min="15" max="15" width="14.25" customWidth="1"/>
    <col min="16" max="16" width="14.375" customWidth="1"/>
    <col min="17" max="17" width="16.375" customWidth="1"/>
    <col min="18" max="18" width="13.75" customWidth="1"/>
    <col min="19" max="19" width="16.125" customWidth="1"/>
  </cols>
  <sheetData>
    <row r="1" spans="1:19" s="74" customFormat="1" ht="119.25" customHeight="1" x14ac:dyDescent="0.25">
      <c r="A1" s="11" t="s">
        <v>24</v>
      </c>
      <c r="B1" s="11" t="s">
        <v>25</v>
      </c>
      <c r="C1" s="11" t="s">
        <v>7</v>
      </c>
      <c r="D1" s="12" t="s">
        <v>6</v>
      </c>
      <c r="E1" s="12" t="s">
        <v>35</v>
      </c>
      <c r="F1" s="12" t="s">
        <v>29</v>
      </c>
      <c r="G1" s="12" t="s">
        <v>26</v>
      </c>
      <c r="H1" s="13" t="s">
        <v>30</v>
      </c>
      <c r="I1" s="14" t="s">
        <v>27</v>
      </c>
      <c r="J1" s="14" t="s">
        <v>36</v>
      </c>
      <c r="K1" s="23" t="s">
        <v>37</v>
      </c>
      <c r="L1" s="14" t="s">
        <v>31</v>
      </c>
      <c r="M1" s="14" t="s">
        <v>43</v>
      </c>
      <c r="N1" s="20" t="s">
        <v>38</v>
      </c>
      <c r="O1" s="72" t="s">
        <v>56</v>
      </c>
      <c r="P1" s="14" t="s">
        <v>57</v>
      </c>
      <c r="Q1" s="14" t="s">
        <v>58</v>
      </c>
      <c r="R1" s="14" t="s">
        <v>59</v>
      </c>
      <c r="S1" s="14" t="s">
        <v>60</v>
      </c>
    </row>
    <row r="2" spans="1:19" x14ac:dyDescent="0.25">
      <c r="A2" s="1" t="s">
        <v>72</v>
      </c>
      <c r="B2" s="1" t="s">
        <v>105</v>
      </c>
      <c r="C2" s="1" t="s">
        <v>33</v>
      </c>
      <c r="D2" s="16">
        <v>36</v>
      </c>
      <c r="E2" s="16">
        <v>20</v>
      </c>
      <c r="F2" s="17">
        <v>4</v>
      </c>
      <c r="G2" s="17">
        <v>10</v>
      </c>
      <c r="H2" s="18">
        <v>128</v>
      </c>
      <c r="I2" s="2">
        <f>HLOOKUP($C2,'Параметры ПФ'!$F$8:$K$13,6,FALSE)*'Параметры ПФ'!$G$22</f>
        <v>170.51</v>
      </c>
      <c r="J2" s="2">
        <f>IF(H2=0,I2*F2*E2,IF(I2&gt;H2,H2*F2*E2,I2*F2*E2))</f>
        <v>10240</v>
      </c>
      <c r="K2" s="3">
        <f>IF(J2&lt;'Параметры ПФ'!$T$3+0.01,'Адаптированные программы'!J2,ROUNDDOWN('Параметры ПФ'!$T$3/IF(H2=0,I2,IF(I2&gt;H2,H2,I2)),0)*IF(H2=0,I2,IF(I2&gt;H2,H2,I2)))</f>
        <v>10240</v>
      </c>
      <c r="L2" s="2">
        <f t="shared" ref="L2" si="0">K2*G2</f>
        <v>102400</v>
      </c>
      <c r="M2" s="27">
        <f>IF(J2&lt;'Параметры ПФ'!$T$3+0.01,E2*F2*G2,ROUNDDOWN('Параметры ПФ'!$T$3/IF(H2=0,I2,IF(I2&gt;H2,H2,I2)),0)*G2)</f>
        <v>800</v>
      </c>
      <c r="N2" s="21">
        <f>IF(H2=0,I2*F2*E2,IF(I2&gt;H2,H2*F2*E2,I2*F2*E2))-K2</f>
        <v>0</v>
      </c>
      <c r="O2" s="31">
        <v>7</v>
      </c>
      <c r="P2" s="3">
        <f>L2/E2*O2</f>
        <v>35840</v>
      </c>
      <c r="Q2" s="3">
        <f>M2/E2*O2</f>
        <v>280</v>
      </c>
      <c r="R2" s="29">
        <f>IF(O2=0,L2,L2-P2)</f>
        <v>66560</v>
      </c>
      <c r="S2" s="29">
        <f>IF(O2=0,M2,M2-Q2)</f>
        <v>520</v>
      </c>
    </row>
    <row r="3" spans="1:19" x14ac:dyDescent="0.25">
      <c r="A3" s="1" t="s">
        <v>72</v>
      </c>
      <c r="B3" s="1" t="s">
        <v>105</v>
      </c>
      <c r="C3" s="1" t="s">
        <v>33</v>
      </c>
      <c r="D3" s="16">
        <v>36</v>
      </c>
      <c r="E3" s="16">
        <v>16</v>
      </c>
      <c r="F3" s="17">
        <v>4</v>
      </c>
      <c r="G3" s="17">
        <v>10</v>
      </c>
      <c r="H3" s="18">
        <v>128</v>
      </c>
      <c r="I3" s="2">
        <f>HLOOKUP($C3,'Параметры ПФ'!$F$8:$K$13,6,FALSE)*'Параметры ПФ'!$G$22</f>
        <v>170.51</v>
      </c>
      <c r="J3" s="2">
        <f t="shared" ref="J3" si="1">IF(H3=0,I3*F3*E3,IF(I3&gt;H3,H3*F3*E3,I3*F3*E3))</f>
        <v>8192</v>
      </c>
      <c r="K3" s="3">
        <f>IF(J3&lt;'Параметры ПФ'!$J$3+0.01,'Адаптированные программы'!J3,ROUNDDOWN('Параметры ПФ'!$J$3/IF(H3=0,I3,IF(I3&gt;H3,H3,I3)),0)*IF(H3=0,I3,IF(I3&gt;H3,H3,I3)))</f>
        <v>8192</v>
      </c>
      <c r="L3" s="2">
        <f t="shared" ref="L3" si="2">K3*G3</f>
        <v>81920</v>
      </c>
      <c r="M3" s="27">
        <f>IF(J3&lt;'Параметры ПФ'!$T$3+0.01,E3*F3*G3,ROUNDDOWN('Параметры ПФ'!$T$3/IF(H3=0,I3,IF(I3&gt;H3,H3,I3)),0)*G3)</f>
        <v>640</v>
      </c>
      <c r="N3" s="21">
        <f t="shared" ref="N3" si="3">IF(H3=0,I3*F3*E3,IF(I3&gt;H3,H3*F3*E3,I3*F3*E3))-K3</f>
        <v>0</v>
      </c>
      <c r="O3" s="31">
        <v>0</v>
      </c>
      <c r="P3" s="3">
        <f t="shared" ref="P3" si="4">L3/E3*O3</f>
        <v>0</v>
      </c>
      <c r="Q3" s="3">
        <f t="shared" ref="Q3" si="5">M3/E3*O3</f>
        <v>0</v>
      </c>
      <c r="R3" s="29">
        <f t="shared" ref="R3:R38" si="6">IF(O3=0,L3,L3-P3)</f>
        <v>81920</v>
      </c>
      <c r="S3" s="29">
        <f t="shared" ref="S3:S38" si="7">IF(O3=0,M3,M3-Q3)</f>
        <v>640</v>
      </c>
    </row>
    <row r="4" spans="1:19" x14ac:dyDescent="0.25">
      <c r="A4" s="1"/>
      <c r="B4" s="1"/>
      <c r="C4" s="1"/>
      <c r="D4" s="16"/>
      <c r="E4" s="16"/>
      <c r="F4" s="17"/>
      <c r="G4" s="17"/>
      <c r="H4" s="18"/>
      <c r="I4" s="2"/>
      <c r="J4" s="2"/>
      <c r="K4" s="3"/>
      <c r="L4" s="2"/>
      <c r="M4" s="27"/>
      <c r="N4" s="21"/>
      <c r="O4" s="31"/>
      <c r="P4" s="3"/>
      <c r="Q4" s="3"/>
      <c r="R4" s="29">
        <f t="shared" si="6"/>
        <v>0</v>
      </c>
      <c r="S4" s="29">
        <f t="shared" si="7"/>
        <v>0</v>
      </c>
    </row>
    <row r="5" spans="1:19" x14ac:dyDescent="0.25">
      <c r="A5" s="1"/>
      <c r="B5" s="1"/>
      <c r="C5" s="1"/>
      <c r="D5" s="16"/>
      <c r="E5" s="16"/>
      <c r="F5" s="17"/>
      <c r="G5" s="17"/>
      <c r="H5" s="18"/>
      <c r="I5" s="2"/>
      <c r="J5" s="2"/>
      <c r="K5" s="3"/>
      <c r="L5" s="2"/>
      <c r="M5" s="27"/>
      <c r="N5" s="21"/>
      <c r="O5" s="31"/>
      <c r="P5" s="3"/>
      <c r="Q5" s="3"/>
      <c r="R5" s="29">
        <f t="shared" si="6"/>
        <v>0</v>
      </c>
      <c r="S5" s="29">
        <f t="shared" si="7"/>
        <v>0</v>
      </c>
    </row>
    <row r="6" spans="1:19" x14ac:dyDescent="0.25">
      <c r="A6" s="1"/>
      <c r="B6" s="1"/>
      <c r="C6" s="1"/>
      <c r="D6" s="16"/>
      <c r="E6" s="16"/>
      <c r="F6" s="17"/>
      <c r="G6" s="17"/>
      <c r="H6" s="18"/>
      <c r="I6" s="2"/>
      <c r="J6" s="2"/>
      <c r="K6" s="3"/>
      <c r="L6" s="2"/>
      <c r="M6" s="27"/>
      <c r="N6" s="21"/>
      <c r="O6" s="31"/>
      <c r="P6" s="3"/>
      <c r="Q6" s="3"/>
      <c r="R6" s="29">
        <f t="shared" si="6"/>
        <v>0</v>
      </c>
      <c r="S6" s="29">
        <f t="shared" si="7"/>
        <v>0</v>
      </c>
    </row>
    <row r="7" spans="1:19" x14ac:dyDescent="0.25">
      <c r="A7" s="1"/>
      <c r="B7" s="1"/>
      <c r="C7" s="1"/>
      <c r="D7" s="16"/>
      <c r="E7" s="16"/>
      <c r="F7" s="17"/>
      <c r="G7" s="17"/>
      <c r="H7" s="18"/>
      <c r="I7" s="2"/>
      <c r="J7" s="2"/>
      <c r="K7" s="3"/>
      <c r="L7" s="2"/>
      <c r="M7" s="27"/>
      <c r="N7" s="21"/>
      <c r="O7" s="31"/>
      <c r="P7" s="3"/>
      <c r="Q7" s="3"/>
      <c r="R7" s="29">
        <f t="shared" si="6"/>
        <v>0</v>
      </c>
      <c r="S7" s="29">
        <f t="shared" si="7"/>
        <v>0</v>
      </c>
    </row>
    <row r="8" spans="1:19" x14ac:dyDescent="0.25">
      <c r="A8" s="1"/>
      <c r="B8" s="1"/>
      <c r="C8" s="1"/>
      <c r="D8" s="16"/>
      <c r="E8" s="16"/>
      <c r="F8" s="17"/>
      <c r="G8" s="17"/>
      <c r="H8" s="18"/>
      <c r="I8" s="2"/>
      <c r="J8" s="2"/>
      <c r="K8" s="3"/>
      <c r="L8" s="2"/>
      <c r="M8" s="27"/>
      <c r="N8" s="21"/>
      <c r="O8" s="31"/>
      <c r="P8" s="3"/>
      <c r="Q8" s="3"/>
      <c r="R8" s="29">
        <f t="shared" si="6"/>
        <v>0</v>
      </c>
      <c r="S8" s="29">
        <f t="shared" si="7"/>
        <v>0</v>
      </c>
    </row>
    <row r="9" spans="1:19" x14ac:dyDescent="0.25">
      <c r="A9" s="1"/>
      <c r="B9" s="1"/>
      <c r="C9" s="1"/>
      <c r="D9" s="16"/>
      <c r="E9" s="16"/>
      <c r="F9" s="17"/>
      <c r="G9" s="17"/>
      <c r="H9" s="18"/>
      <c r="I9" s="2"/>
      <c r="J9" s="2"/>
      <c r="K9" s="3"/>
      <c r="L9" s="2"/>
      <c r="M9" s="27"/>
      <c r="N9" s="21"/>
      <c r="O9" s="31"/>
      <c r="P9" s="3"/>
      <c r="Q9" s="3"/>
      <c r="R9" s="29">
        <f t="shared" si="6"/>
        <v>0</v>
      </c>
      <c r="S9" s="29">
        <f t="shared" si="7"/>
        <v>0</v>
      </c>
    </row>
    <row r="10" spans="1:19" x14ac:dyDescent="0.25">
      <c r="A10" s="1"/>
      <c r="B10" s="1"/>
      <c r="C10" s="1"/>
      <c r="D10" s="16"/>
      <c r="E10" s="16"/>
      <c r="F10" s="17"/>
      <c r="G10" s="17"/>
      <c r="H10" s="18"/>
      <c r="I10" s="2"/>
      <c r="J10" s="2"/>
      <c r="K10" s="3"/>
      <c r="L10" s="2"/>
      <c r="M10" s="27"/>
      <c r="N10" s="21"/>
      <c r="O10" s="31"/>
      <c r="P10" s="3"/>
      <c r="Q10" s="3"/>
      <c r="R10" s="29">
        <f t="shared" si="6"/>
        <v>0</v>
      </c>
      <c r="S10" s="29">
        <f t="shared" si="7"/>
        <v>0</v>
      </c>
    </row>
    <row r="11" spans="1:19" x14ac:dyDescent="0.25">
      <c r="A11" s="1"/>
      <c r="B11" s="1"/>
      <c r="C11" s="1"/>
      <c r="D11" s="16"/>
      <c r="E11" s="16"/>
      <c r="F11" s="17"/>
      <c r="G11" s="17"/>
      <c r="H11" s="18"/>
      <c r="I11" s="2"/>
      <c r="J11" s="2"/>
      <c r="K11" s="3"/>
      <c r="L11" s="2"/>
      <c r="M11" s="27"/>
      <c r="N11" s="21"/>
      <c r="O11" s="31"/>
      <c r="P11" s="3"/>
      <c r="Q11" s="3"/>
      <c r="R11" s="29">
        <f t="shared" si="6"/>
        <v>0</v>
      </c>
      <c r="S11" s="29">
        <f t="shared" si="7"/>
        <v>0</v>
      </c>
    </row>
    <row r="12" spans="1:19" x14ac:dyDescent="0.25">
      <c r="A12" s="1"/>
      <c r="B12" s="1"/>
      <c r="C12" s="1"/>
      <c r="D12" s="16"/>
      <c r="E12" s="16"/>
      <c r="F12" s="17"/>
      <c r="G12" s="17"/>
      <c r="H12" s="18"/>
      <c r="I12" s="2"/>
      <c r="J12" s="2"/>
      <c r="K12" s="3"/>
      <c r="L12" s="2"/>
      <c r="M12" s="27"/>
      <c r="N12" s="21"/>
      <c r="O12" s="31"/>
      <c r="P12" s="3"/>
      <c r="Q12" s="3"/>
      <c r="R12" s="29">
        <f t="shared" si="6"/>
        <v>0</v>
      </c>
      <c r="S12" s="29">
        <f t="shared" si="7"/>
        <v>0</v>
      </c>
    </row>
    <row r="13" spans="1:19" x14ac:dyDescent="0.25">
      <c r="A13" s="1"/>
      <c r="B13" s="1"/>
      <c r="C13" s="1"/>
      <c r="D13" s="16"/>
      <c r="E13" s="16"/>
      <c r="F13" s="17"/>
      <c r="G13" s="17"/>
      <c r="H13" s="18"/>
      <c r="I13" s="2"/>
      <c r="J13" s="2"/>
      <c r="K13" s="3"/>
      <c r="L13" s="2"/>
      <c r="M13" s="27"/>
      <c r="N13" s="21"/>
      <c r="O13" s="31"/>
      <c r="P13" s="3"/>
      <c r="Q13" s="3"/>
      <c r="R13" s="29">
        <f t="shared" si="6"/>
        <v>0</v>
      </c>
      <c r="S13" s="29">
        <f t="shared" si="7"/>
        <v>0</v>
      </c>
    </row>
    <row r="14" spans="1:19" x14ac:dyDescent="0.25">
      <c r="A14" s="1"/>
      <c r="B14" s="1"/>
      <c r="C14" s="1"/>
      <c r="D14" s="16"/>
      <c r="E14" s="16"/>
      <c r="F14" s="17"/>
      <c r="G14" s="17"/>
      <c r="H14" s="18"/>
      <c r="I14" s="2"/>
      <c r="J14" s="2"/>
      <c r="K14" s="3"/>
      <c r="L14" s="2"/>
      <c r="M14" s="27"/>
      <c r="N14" s="21"/>
      <c r="O14" s="31"/>
      <c r="P14" s="3"/>
      <c r="Q14" s="3"/>
      <c r="R14" s="29">
        <f t="shared" si="6"/>
        <v>0</v>
      </c>
      <c r="S14" s="29">
        <f t="shared" si="7"/>
        <v>0</v>
      </c>
    </row>
    <row r="15" spans="1:19" x14ac:dyDescent="0.25">
      <c r="A15" s="1"/>
      <c r="B15" s="1"/>
      <c r="C15" s="1"/>
      <c r="D15" s="16"/>
      <c r="E15" s="16"/>
      <c r="F15" s="17"/>
      <c r="G15" s="17"/>
      <c r="H15" s="18"/>
      <c r="I15" s="2"/>
      <c r="J15" s="2"/>
      <c r="K15" s="3"/>
      <c r="L15" s="2"/>
      <c r="M15" s="27"/>
      <c r="N15" s="21"/>
      <c r="O15" s="31"/>
      <c r="P15" s="3"/>
      <c r="Q15" s="3"/>
      <c r="R15" s="29">
        <f t="shared" si="6"/>
        <v>0</v>
      </c>
      <c r="S15" s="29">
        <f t="shared" si="7"/>
        <v>0</v>
      </c>
    </row>
    <row r="16" spans="1:19" x14ac:dyDescent="0.25">
      <c r="A16" s="1"/>
      <c r="B16" s="1"/>
      <c r="C16" s="1"/>
      <c r="D16" s="16"/>
      <c r="E16" s="16"/>
      <c r="F16" s="17"/>
      <c r="G16" s="17"/>
      <c r="H16" s="18"/>
      <c r="I16" s="2"/>
      <c r="J16" s="2"/>
      <c r="K16" s="3"/>
      <c r="L16" s="2"/>
      <c r="M16" s="27"/>
      <c r="N16" s="21"/>
      <c r="O16" s="31"/>
      <c r="P16" s="3"/>
      <c r="Q16" s="3"/>
      <c r="R16" s="29">
        <f t="shared" si="6"/>
        <v>0</v>
      </c>
      <c r="S16" s="29">
        <f t="shared" si="7"/>
        <v>0</v>
      </c>
    </row>
    <row r="17" spans="1:19" x14ac:dyDescent="0.25">
      <c r="A17" s="1"/>
      <c r="B17" s="1"/>
      <c r="C17" s="1"/>
      <c r="D17" s="16"/>
      <c r="E17" s="16"/>
      <c r="F17" s="17"/>
      <c r="G17" s="17"/>
      <c r="H17" s="18"/>
      <c r="I17" s="2"/>
      <c r="J17" s="2"/>
      <c r="K17" s="3"/>
      <c r="L17" s="2"/>
      <c r="M17" s="27"/>
      <c r="N17" s="21"/>
      <c r="O17" s="31"/>
      <c r="P17" s="3"/>
      <c r="Q17" s="3"/>
      <c r="R17" s="29">
        <f t="shared" si="6"/>
        <v>0</v>
      </c>
      <c r="S17" s="29">
        <f t="shared" si="7"/>
        <v>0</v>
      </c>
    </row>
    <row r="18" spans="1:19" x14ac:dyDescent="0.25">
      <c r="A18" s="1"/>
      <c r="B18" s="1"/>
      <c r="C18" s="1"/>
      <c r="D18" s="16"/>
      <c r="E18" s="16"/>
      <c r="F18" s="17"/>
      <c r="G18" s="17"/>
      <c r="H18" s="18"/>
      <c r="I18" s="2"/>
      <c r="J18" s="2"/>
      <c r="K18" s="3"/>
      <c r="L18" s="2"/>
      <c r="M18" s="27"/>
      <c r="N18" s="21"/>
      <c r="O18" s="31"/>
      <c r="P18" s="3"/>
      <c r="Q18" s="3"/>
      <c r="R18" s="29">
        <f t="shared" si="6"/>
        <v>0</v>
      </c>
      <c r="S18" s="29">
        <f t="shared" si="7"/>
        <v>0</v>
      </c>
    </row>
    <row r="19" spans="1:19" x14ac:dyDescent="0.25">
      <c r="A19" s="1"/>
      <c r="B19" s="1"/>
      <c r="C19" s="1"/>
      <c r="D19" s="16"/>
      <c r="E19" s="16"/>
      <c r="F19" s="17"/>
      <c r="G19" s="17"/>
      <c r="H19" s="18"/>
      <c r="I19" s="2"/>
      <c r="J19" s="2"/>
      <c r="K19" s="3"/>
      <c r="L19" s="2"/>
      <c r="M19" s="27"/>
      <c r="N19" s="21"/>
      <c r="O19" s="31"/>
      <c r="P19" s="3"/>
      <c r="Q19" s="3"/>
      <c r="R19" s="29">
        <f t="shared" si="6"/>
        <v>0</v>
      </c>
      <c r="S19" s="29">
        <f t="shared" si="7"/>
        <v>0</v>
      </c>
    </row>
    <row r="20" spans="1:19" x14ac:dyDescent="0.25">
      <c r="A20" s="1"/>
      <c r="B20" s="1"/>
      <c r="C20" s="1"/>
      <c r="D20" s="16"/>
      <c r="E20" s="16"/>
      <c r="F20" s="17"/>
      <c r="G20" s="17"/>
      <c r="H20" s="18"/>
      <c r="I20" s="2"/>
      <c r="J20" s="2"/>
      <c r="K20" s="3"/>
      <c r="L20" s="2"/>
      <c r="M20" s="27"/>
      <c r="N20" s="21"/>
      <c r="O20" s="31"/>
      <c r="P20" s="3"/>
      <c r="Q20" s="3"/>
      <c r="R20" s="29">
        <f t="shared" si="6"/>
        <v>0</v>
      </c>
      <c r="S20" s="29">
        <f t="shared" si="7"/>
        <v>0</v>
      </c>
    </row>
    <row r="21" spans="1:19" x14ac:dyDescent="0.25">
      <c r="A21" s="1"/>
      <c r="B21" s="1"/>
      <c r="C21" s="1"/>
      <c r="D21" s="16"/>
      <c r="E21" s="16"/>
      <c r="F21" s="17"/>
      <c r="G21" s="17"/>
      <c r="H21" s="18"/>
      <c r="I21" s="2"/>
      <c r="J21" s="2"/>
      <c r="K21" s="3"/>
      <c r="L21" s="2"/>
      <c r="M21" s="27"/>
      <c r="N21" s="21"/>
      <c r="O21" s="31"/>
      <c r="P21" s="3"/>
      <c r="Q21" s="3"/>
      <c r="R21" s="29">
        <f t="shared" si="6"/>
        <v>0</v>
      </c>
      <c r="S21" s="29">
        <f t="shared" si="7"/>
        <v>0</v>
      </c>
    </row>
    <row r="22" spans="1:19" x14ac:dyDescent="0.25">
      <c r="A22" s="1"/>
      <c r="B22" s="1"/>
      <c r="C22" s="1"/>
      <c r="D22" s="16"/>
      <c r="E22" s="16"/>
      <c r="F22" s="17"/>
      <c r="G22" s="17"/>
      <c r="H22" s="18"/>
      <c r="I22" s="2"/>
      <c r="J22" s="2"/>
      <c r="K22" s="3"/>
      <c r="L22" s="2"/>
      <c r="M22" s="27"/>
      <c r="N22" s="21"/>
      <c r="O22" s="31"/>
      <c r="P22" s="3"/>
      <c r="Q22" s="3"/>
      <c r="R22" s="29">
        <f t="shared" si="6"/>
        <v>0</v>
      </c>
      <c r="S22" s="29">
        <f t="shared" si="7"/>
        <v>0</v>
      </c>
    </row>
    <row r="23" spans="1:19" x14ac:dyDescent="0.25">
      <c r="A23" s="1"/>
      <c r="B23" s="1"/>
      <c r="C23" s="1"/>
      <c r="D23" s="16"/>
      <c r="E23" s="16"/>
      <c r="F23" s="17"/>
      <c r="G23" s="17"/>
      <c r="H23" s="18"/>
      <c r="I23" s="2"/>
      <c r="J23" s="2"/>
      <c r="K23" s="3"/>
      <c r="L23" s="2"/>
      <c r="M23" s="27"/>
      <c r="N23" s="21"/>
      <c r="O23" s="31"/>
      <c r="P23" s="3"/>
      <c r="Q23" s="3"/>
      <c r="R23" s="29">
        <f t="shared" si="6"/>
        <v>0</v>
      </c>
      <c r="S23" s="29">
        <f t="shared" si="7"/>
        <v>0</v>
      </c>
    </row>
    <row r="24" spans="1:19" x14ac:dyDescent="0.25">
      <c r="A24" s="1"/>
      <c r="B24" s="1"/>
      <c r="C24" s="1"/>
      <c r="D24" s="16"/>
      <c r="E24" s="16"/>
      <c r="F24" s="17"/>
      <c r="G24" s="17"/>
      <c r="H24" s="18"/>
      <c r="I24" s="2"/>
      <c r="J24" s="2"/>
      <c r="K24" s="3"/>
      <c r="L24" s="2"/>
      <c r="M24" s="27"/>
      <c r="N24" s="21"/>
      <c r="O24" s="31"/>
      <c r="P24" s="3"/>
      <c r="Q24" s="3"/>
      <c r="R24" s="29">
        <f t="shared" si="6"/>
        <v>0</v>
      </c>
      <c r="S24" s="29">
        <f t="shared" si="7"/>
        <v>0</v>
      </c>
    </row>
    <row r="25" spans="1:19" x14ac:dyDescent="0.25">
      <c r="A25" s="1"/>
      <c r="B25" s="1"/>
      <c r="C25" s="1"/>
      <c r="D25" s="16"/>
      <c r="E25" s="16"/>
      <c r="F25" s="17"/>
      <c r="G25" s="17"/>
      <c r="H25" s="18"/>
      <c r="I25" s="2"/>
      <c r="J25" s="2"/>
      <c r="K25" s="3"/>
      <c r="L25" s="2"/>
      <c r="M25" s="27"/>
      <c r="N25" s="21"/>
      <c r="O25" s="31"/>
      <c r="P25" s="3"/>
      <c r="Q25" s="3"/>
      <c r="R25" s="29">
        <f t="shared" si="6"/>
        <v>0</v>
      </c>
      <c r="S25" s="29">
        <f t="shared" si="7"/>
        <v>0</v>
      </c>
    </row>
    <row r="26" spans="1:19" x14ac:dyDescent="0.25">
      <c r="A26" s="1"/>
      <c r="B26" s="1"/>
      <c r="C26" s="1"/>
      <c r="D26" s="16"/>
      <c r="E26" s="16"/>
      <c r="F26" s="17"/>
      <c r="G26" s="17"/>
      <c r="H26" s="18"/>
      <c r="I26" s="2"/>
      <c r="J26" s="2"/>
      <c r="K26" s="3"/>
      <c r="L26" s="2"/>
      <c r="M26" s="27"/>
      <c r="N26" s="21"/>
      <c r="O26" s="31"/>
      <c r="P26" s="3"/>
      <c r="Q26" s="3"/>
      <c r="R26" s="29">
        <f t="shared" si="6"/>
        <v>0</v>
      </c>
      <c r="S26" s="29">
        <f t="shared" si="7"/>
        <v>0</v>
      </c>
    </row>
    <row r="27" spans="1:19" x14ac:dyDescent="0.25">
      <c r="A27" s="1"/>
      <c r="B27" s="1"/>
      <c r="C27" s="1"/>
      <c r="D27" s="16"/>
      <c r="E27" s="16"/>
      <c r="F27" s="17"/>
      <c r="G27" s="17"/>
      <c r="H27" s="18"/>
      <c r="I27" s="2"/>
      <c r="J27" s="2"/>
      <c r="K27" s="3"/>
      <c r="L27" s="2"/>
      <c r="M27" s="27"/>
      <c r="N27" s="21"/>
      <c r="O27" s="31"/>
      <c r="P27" s="3"/>
      <c r="Q27" s="3"/>
      <c r="R27" s="29">
        <f t="shared" si="6"/>
        <v>0</v>
      </c>
      <c r="S27" s="29">
        <f t="shared" si="7"/>
        <v>0</v>
      </c>
    </row>
    <row r="28" spans="1:19" x14ac:dyDescent="0.25">
      <c r="A28" s="1"/>
      <c r="B28" s="1"/>
      <c r="C28" s="1"/>
      <c r="D28" s="16"/>
      <c r="E28" s="16"/>
      <c r="F28" s="17"/>
      <c r="G28" s="17"/>
      <c r="H28" s="18"/>
      <c r="I28" s="2"/>
      <c r="J28" s="2"/>
      <c r="K28" s="3"/>
      <c r="L28" s="2"/>
      <c r="M28" s="27"/>
      <c r="N28" s="21"/>
      <c r="O28" s="31"/>
      <c r="P28" s="3"/>
      <c r="Q28" s="3"/>
      <c r="R28" s="29">
        <f t="shared" si="6"/>
        <v>0</v>
      </c>
      <c r="S28" s="29">
        <f t="shared" si="7"/>
        <v>0</v>
      </c>
    </row>
    <row r="29" spans="1:19" x14ac:dyDescent="0.25">
      <c r="A29" s="1"/>
      <c r="B29" s="1"/>
      <c r="C29" s="1"/>
      <c r="D29" s="16"/>
      <c r="E29" s="16"/>
      <c r="F29" s="17"/>
      <c r="G29" s="17"/>
      <c r="H29" s="18"/>
      <c r="I29" s="2"/>
      <c r="J29" s="2"/>
      <c r="K29" s="3"/>
      <c r="L29" s="2"/>
      <c r="M29" s="27"/>
      <c r="N29" s="21"/>
      <c r="O29" s="31"/>
      <c r="P29" s="3"/>
      <c r="Q29" s="3"/>
      <c r="R29" s="29">
        <f t="shared" si="6"/>
        <v>0</v>
      </c>
      <c r="S29" s="29">
        <f t="shared" si="7"/>
        <v>0</v>
      </c>
    </row>
    <row r="30" spans="1:19" x14ac:dyDescent="0.25">
      <c r="A30" s="1"/>
      <c r="B30" s="1"/>
      <c r="C30" s="1"/>
      <c r="D30" s="16"/>
      <c r="E30" s="16"/>
      <c r="F30" s="17"/>
      <c r="G30" s="17"/>
      <c r="H30" s="18"/>
      <c r="I30" s="2"/>
      <c r="J30" s="2"/>
      <c r="K30" s="3"/>
      <c r="L30" s="2"/>
      <c r="M30" s="27"/>
      <c r="N30" s="21"/>
      <c r="O30" s="31"/>
      <c r="P30" s="3"/>
      <c r="Q30" s="3"/>
      <c r="R30" s="29">
        <f t="shared" si="6"/>
        <v>0</v>
      </c>
      <c r="S30" s="29">
        <f t="shared" si="7"/>
        <v>0</v>
      </c>
    </row>
    <row r="31" spans="1:19" x14ac:dyDescent="0.25">
      <c r="A31" s="1"/>
      <c r="B31" s="1"/>
      <c r="C31" s="1"/>
      <c r="D31" s="16"/>
      <c r="E31" s="16"/>
      <c r="F31" s="17"/>
      <c r="G31" s="17"/>
      <c r="H31" s="18"/>
      <c r="I31" s="2"/>
      <c r="J31" s="2"/>
      <c r="K31" s="3"/>
      <c r="L31" s="2"/>
      <c r="M31" s="27"/>
      <c r="N31" s="21"/>
      <c r="O31" s="31"/>
      <c r="P31" s="3"/>
      <c r="Q31" s="3"/>
      <c r="R31" s="29">
        <f t="shared" si="6"/>
        <v>0</v>
      </c>
      <c r="S31" s="29">
        <f t="shared" si="7"/>
        <v>0</v>
      </c>
    </row>
    <row r="32" spans="1:19" x14ac:dyDescent="0.25">
      <c r="A32" s="1"/>
      <c r="B32" s="1"/>
      <c r="C32" s="1"/>
      <c r="D32" s="16"/>
      <c r="E32" s="16"/>
      <c r="F32" s="17"/>
      <c r="G32" s="17"/>
      <c r="H32" s="18"/>
      <c r="I32" s="2"/>
      <c r="J32" s="2"/>
      <c r="K32" s="3"/>
      <c r="L32" s="2"/>
      <c r="M32" s="27"/>
      <c r="N32" s="21"/>
      <c r="O32" s="31"/>
      <c r="P32" s="3"/>
      <c r="Q32" s="3"/>
      <c r="R32" s="29">
        <f t="shared" si="6"/>
        <v>0</v>
      </c>
      <c r="S32" s="29">
        <f t="shared" si="7"/>
        <v>0</v>
      </c>
    </row>
    <row r="33" spans="1:19" x14ac:dyDescent="0.25">
      <c r="A33" s="1"/>
      <c r="B33" s="1"/>
      <c r="C33" s="1"/>
      <c r="D33" s="16"/>
      <c r="E33" s="16"/>
      <c r="F33" s="17"/>
      <c r="G33" s="17"/>
      <c r="H33" s="18"/>
      <c r="I33" s="2"/>
      <c r="J33" s="2"/>
      <c r="K33" s="3"/>
      <c r="L33" s="2"/>
      <c r="M33" s="27"/>
      <c r="N33" s="21"/>
      <c r="O33" s="31"/>
      <c r="P33" s="3"/>
      <c r="Q33" s="3"/>
      <c r="R33" s="29">
        <f t="shared" si="6"/>
        <v>0</v>
      </c>
      <c r="S33" s="29">
        <f t="shared" si="7"/>
        <v>0</v>
      </c>
    </row>
    <row r="34" spans="1:19" x14ac:dyDescent="0.25">
      <c r="A34" s="1"/>
      <c r="B34" s="1"/>
      <c r="C34" s="1"/>
      <c r="D34" s="16"/>
      <c r="E34" s="16"/>
      <c r="F34" s="17"/>
      <c r="G34" s="17"/>
      <c r="H34" s="18"/>
      <c r="I34" s="2"/>
      <c r="J34" s="2"/>
      <c r="K34" s="3"/>
      <c r="L34" s="2"/>
      <c r="M34" s="27"/>
      <c r="N34" s="21"/>
      <c r="O34" s="31"/>
      <c r="P34" s="3"/>
      <c r="Q34" s="3"/>
      <c r="R34" s="29">
        <f t="shared" si="6"/>
        <v>0</v>
      </c>
      <c r="S34" s="29">
        <f t="shared" si="7"/>
        <v>0</v>
      </c>
    </row>
    <row r="35" spans="1:19" x14ac:dyDescent="0.25">
      <c r="A35" s="1"/>
      <c r="B35" s="1"/>
      <c r="C35" s="1"/>
      <c r="D35" s="16"/>
      <c r="E35" s="16"/>
      <c r="F35" s="17"/>
      <c r="G35" s="17"/>
      <c r="H35" s="18"/>
      <c r="I35" s="2"/>
      <c r="J35" s="2"/>
      <c r="K35" s="3"/>
      <c r="L35" s="2"/>
      <c r="M35" s="27"/>
      <c r="N35" s="21"/>
      <c r="O35" s="31"/>
      <c r="P35" s="3"/>
      <c r="Q35" s="3"/>
      <c r="R35" s="29">
        <f t="shared" si="6"/>
        <v>0</v>
      </c>
      <c r="S35" s="29">
        <f t="shared" si="7"/>
        <v>0</v>
      </c>
    </row>
    <row r="36" spans="1:19" x14ac:dyDescent="0.25">
      <c r="A36" s="1"/>
      <c r="B36" s="1"/>
      <c r="C36" s="1"/>
      <c r="D36" s="16"/>
      <c r="E36" s="16"/>
      <c r="F36" s="17"/>
      <c r="G36" s="17"/>
      <c r="H36" s="18"/>
      <c r="I36" s="2"/>
      <c r="J36" s="2"/>
      <c r="K36" s="3"/>
      <c r="L36" s="2"/>
      <c r="M36" s="27"/>
      <c r="N36" s="21"/>
      <c r="O36" s="31"/>
      <c r="P36" s="3"/>
      <c r="Q36" s="3"/>
      <c r="R36" s="29">
        <f t="shared" si="6"/>
        <v>0</v>
      </c>
      <c r="S36" s="29">
        <f t="shared" si="7"/>
        <v>0</v>
      </c>
    </row>
    <row r="37" spans="1:19" x14ac:dyDescent="0.25">
      <c r="A37" s="1"/>
      <c r="B37" s="1"/>
      <c r="C37" s="1"/>
      <c r="D37" s="16"/>
      <c r="E37" s="16"/>
      <c r="F37" s="17"/>
      <c r="G37" s="17"/>
      <c r="H37" s="18"/>
      <c r="I37" s="2"/>
      <c r="J37" s="2"/>
      <c r="K37" s="3"/>
      <c r="L37" s="2"/>
      <c r="M37" s="27"/>
      <c r="N37" s="21"/>
      <c r="O37" s="31"/>
      <c r="P37" s="3"/>
      <c r="Q37" s="3"/>
      <c r="R37" s="29">
        <f t="shared" si="6"/>
        <v>0</v>
      </c>
      <c r="S37" s="29">
        <f t="shared" si="7"/>
        <v>0</v>
      </c>
    </row>
    <row r="38" spans="1:19" x14ac:dyDescent="0.25">
      <c r="A38" s="1"/>
      <c r="B38" s="1"/>
      <c r="C38" s="1"/>
      <c r="D38" s="16"/>
      <c r="E38" s="16"/>
      <c r="F38" s="17"/>
      <c r="G38" s="17"/>
      <c r="H38" s="18"/>
      <c r="I38" s="2"/>
      <c r="J38" s="2"/>
      <c r="K38" s="3"/>
      <c r="L38" s="2"/>
      <c r="M38" s="27"/>
      <c r="N38" s="21"/>
      <c r="O38" s="31"/>
      <c r="P38" s="3"/>
      <c r="Q38" s="3"/>
      <c r="R38" s="29">
        <f t="shared" si="6"/>
        <v>0</v>
      </c>
      <c r="S38" s="29">
        <f t="shared" si="7"/>
        <v>0</v>
      </c>
    </row>
    <row r="39" spans="1:19" s="34" customFormat="1" x14ac:dyDescent="0.25">
      <c r="A39" s="123"/>
      <c r="B39" s="123"/>
      <c r="C39" s="123"/>
      <c r="D39" s="123"/>
      <c r="E39" s="123"/>
      <c r="F39" s="123"/>
      <c r="G39" s="4">
        <f>SUM(G2:G38)</f>
        <v>20</v>
      </c>
      <c r="H39" s="5" t="s">
        <v>28</v>
      </c>
      <c r="I39" s="6" t="s">
        <v>28</v>
      </c>
      <c r="J39" s="5" t="s">
        <v>28</v>
      </c>
      <c r="K39" s="6" t="s">
        <v>28</v>
      </c>
      <c r="L39" s="25">
        <f>SUM(L2:L38)</f>
        <v>184320</v>
      </c>
      <c r="M39" s="28">
        <f>SUM(M2:M38)</f>
        <v>1440</v>
      </c>
      <c r="N39" s="32" t="s">
        <v>28</v>
      </c>
      <c r="O39" s="32" t="s">
        <v>28</v>
      </c>
      <c r="P39" s="33">
        <f>SUM(P2:P38)</f>
        <v>35840</v>
      </c>
      <c r="Q39" s="33">
        <f t="shared" ref="Q39:S39" si="8">SUM(Q2:Q38)</f>
        <v>280</v>
      </c>
      <c r="R39" s="33">
        <f t="shared" si="8"/>
        <v>148480</v>
      </c>
      <c r="S39" s="33">
        <f t="shared" si="8"/>
        <v>1160</v>
      </c>
    </row>
  </sheetData>
  <mergeCells count="1">
    <mergeCell ref="A39:F39"/>
  </mergeCells>
  <conditionalFormatting sqref="N2:N38">
    <cfRule type="cellIs" dxfId="0" priority="1" operator="greaterThan">
      <formula>#REF!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Параметры ПФ</vt:lpstr>
      <vt:lpstr>Стандартные программы</vt:lpstr>
      <vt:lpstr>Дистанционные программы</vt:lpstr>
      <vt:lpstr>Очно-заочные программы</vt:lpstr>
      <vt:lpstr>Адаптированные программы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Юрист</cp:lastModifiedBy>
  <cp:lastPrinted>2023-03-10T06:27:54Z</cp:lastPrinted>
  <dcterms:created xsi:type="dcterms:W3CDTF">2019-03-03T02:50:35Z</dcterms:created>
  <dcterms:modified xsi:type="dcterms:W3CDTF">2023-03-10T06:28:02Z</dcterms:modified>
</cp:coreProperties>
</file>