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\\192.168.1.51\e\Для Сташкиной С.С\Соц.заказ\"/>
    </mc:Choice>
  </mc:AlternateContent>
  <bookViews>
    <workbookView xWindow="0" yWindow="0" windowWidth="25200" windowHeight="11985" activeTab="1"/>
  </bookViews>
  <sheets>
    <sheet name="Нормативные затраты по МЗ" sheetId="16" r:id="rId1"/>
    <sheet name="Параметры ПФ" sheetId="8" r:id="rId2"/>
    <sheet name="Затраты на коммунальные услуги" sheetId="13" r:id="rId3"/>
    <sheet name="Затраты на содержание имущества" sheetId="14" r:id="rId4"/>
    <sheet name="Стандартные программы" sheetId="5" r:id="rId5"/>
    <sheet name="Дистанционные программы" sheetId="9" r:id="rId6"/>
    <sheet name="Очно-заочные программы" sheetId="10" r:id="rId7"/>
    <sheet name="Адаптированные программы" sheetId="11" r:id="rId8"/>
    <sheet name="Общеразвив.программы на МЗ" sheetId="15" r:id="rId9"/>
  </sheets>
  <externalReferences>
    <externalReference r:id="rId10"/>
  </externalReferences>
  <definedNames>
    <definedName name="_xlnm._FilterDatabase" localSheetId="7" hidden="1">'Адаптированные программы'!$A$1:$N$6</definedName>
    <definedName name="_xlnm._FilterDatabase" localSheetId="5" hidden="1">'Дистанционные программы'!$A$1:$N$3</definedName>
    <definedName name="_xlnm._FilterDatabase" localSheetId="0" hidden="1">'Нормативные затраты по МЗ'!$A$1:$C$2</definedName>
    <definedName name="_xlnm._FilterDatabase" localSheetId="8" hidden="1">'Общеразвив.программы на МЗ'!$A$1:$K$75</definedName>
    <definedName name="_xlnm._FilterDatabase" localSheetId="6" hidden="1">'Очно-заочные программы'!$A$1:$N$3</definedName>
    <definedName name="_xlnm._FilterDatabase" localSheetId="4" hidden="1">'Стандартные программы'!$A$1:$N$58</definedName>
    <definedName name="_xlnm.Print_Titles" localSheetId="2">'Затраты на коммунальные услуги'!$2:$2</definedName>
    <definedName name="_xlnm.Print_Titles" localSheetId="3">'Затраты на содержание имущества'!$3:$3</definedName>
    <definedName name="_xlnm.Print_Area" localSheetId="2">'Затраты на коммунальные услуги'!$A$1:$O$19</definedName>
    <definedName name="_xlnm.Print_Area" localSheetId="3">'Затраты на содержание имущества'!$A$1:$T$20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5" i="5" l="1"/>
  <c r="G77" i="15" l="1"/>
  <c r="J71" i="15"/>
  <c r="H71" i="15" a="1"/>
  <c r="H71" i="15" s="1"/>
  <c r="I71" i="15" s="1"/>
  <c r="J67" i="15"/>
  <c r="H67" i="15" a="1"/>
  <c r="H67" i="15" s="1"/>
  <c r="I67" i="15" s="1"/>
  <c r="H78" i="15" l="1"/>
  <c r="G78" i="15"/>
  <c r="J37" i="15" l="1"/>
  <c r="J36" i="15"/>
  <c r="J59" i="15"/>
  <c r="J58" i="15"/>
  <c r="G6" i="11"/>
  <c r="P4" i="11"/>
  <c r="P5" i="11"/>
  <c r="G60" i="5"/>
  <c r="H53" i="5" l="1" a="1"/>
  <c r="H53" i="5" s="1"/>
  <c r="P53" i="5"/>
  <c r="P16" i="5"/>
  <c r="H54" i="5" l="1" a="1"/>
  <c r="H54" i="5" s="1"/>
  <c r="H55" i="5" a="1"/>
  <c r="H55" i="5" s="1"/>
  <c r="G61" i="5"/>
  <c r="J39" i="15" l="1"/>
  <c r="J9" i="15"/>
  <c r="J8" i="15"/>
  <c r="J12" i="15"/>
  <c r="J65" i="15"/>
  <c r="J34" i="15"/>
  <c r="J48" i="15"/>
  <c r="J47" i="15"/>
  <c r="J26" i="15" l="1"/>
  <c r="P2" i="10" l="1"/>
  <c r="J3" i="15" l="1"/>
  <c r="J4" i="15"/>
  <c r="J5" i="15"/>
  <c r="J6" i="15"/>
  <c r="J7" i="15"/>
  <c r="J10" i="15"/>
  <c r="J11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7" i="15"/>
  <c r="J28" i="15"/>
  <c r="J29" i="15"/>
  <c r="J30" i="15"/>
  <c r="J31" i="15"/>
  <c r="J32" i="15"/>
  <c r="J33" i="15"/>
  <c r="J35" i="15"/>
  <c r="J38" i="15"/>
  <c r="J40" i="15"/>
  <c r="J41" i="15"/>
  <c r="J42" i="15"/>
  <c r="J43" i="15"/>
  <c r="J44" i="15"/>
  <c r="J45" i="15"/>
  <c r="J46" i="15"/>
  <c r="J49" i="15"/>
  <c r="J50" i="15"/>
  <c r="J51" i="15"/>
  <c r="J52" i="15"/>
  <c r="J53" i="15"/>
  <c r="J54" i="15"/>
  <c r="J55" i="15"/>
  <c r="J56" i="15"/>
  <c r="J57" i="15"/>
  <c r="J60" i="15"/>
  <c r="J61" i="15"/>
  <c r="J62" i="15"/>
  <c r="J63" i="15"/>
  <c r="J64" i="15"/>
  <c r="J66" i="15"/>
  <c r="J68" i="15"/>
  <c r="J69" i="15"/>
  <c r="J70" i="15"/>
  <c r="J72" i="15"/>
  <c r="J73" i="15"/>
  <c r="J74" i="15"/>
  <c r="H68" i="15" a="1"/>
  <c r="H68" i="15" s="1"/>
  <c r="I68" i="15" s="1"/>
  <c r="H69" i="15" a="1"/>
  <c r="H69" i="15" s="1"/>
  <c r="I69" i="15" s="1"/>
  <c r="H70" i="15" a="1"/>
  <c r="H70" i="15" s="1"/>
  <c r="I70" i="15" s="1"/>
  <c r="H72" i="15" a="1"/>
  <c r="H72" i="15" s="1"/>
  <c r="I72" i="15" s="1"/>
  <c r="H73" i="15" a="1"/>
  <c r="H73" i="15" s="1"/>
  <c r="I73" i="15" s="1"/>
  <c r="H74" i="15" a="1"/>
  <c r="H74" i="15" s="1"/>
  <c r="I74" i="15" s="1"/>
  <c r="P12" i="5"/>
  <c r="P13" i="5"/>
  <c r="P14" i="5"/>
  <c r="P15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G75" i="15" l="1"/>
  <c r="G58" i="5"/>
  <c r="O3" i="10" l="1"/>
  <c r="G13" i="8"/>
  <c r="H13" i="8"/>
  <c r="I13" i="8"/>
  <c r="J13" i="8"/>
  <c r="K13" i="8"/>
  <c r="F13" i="8"/>
  <c r="K12" i="8"/>
  <c r="J12" i="8"/>
  <c r="I12" i="8"/>
  <c r="H12" i="8"/>
  <c r="G12" i="8"/>
  <c r="F12" i="8"/>
  <c r="K11" i="8"/>
  <c r="J11" i="8"/>
  <c r="I11" i="8"/>
  <c r="H11" i="8"/>
  <c r="G11" i="8"/>
  <c r="F11" i="8"/>
  <c r="H56" i="5" l="1" a="1"/>
  <c r="H56" i="5" s="1"/>
  <c r="H57" i="5" a="1"/>
  <c r="H57" i="5" s="1"/>
  <c r="G14" i="8" l="1"/>
  <c r="H14" i="8"/>
  <c r="I14" i="8"/>
  <c r="J14" i="8"/>
  <c r="K14" i="8"/>
  <c r="F14" i="8"/>
  <c r="E4" i="13" l="1"/>
  <c r="G4" i="13" s="1"/>
  <c r="E5" i="13"/>
  <c r="G5" i="13" s="1"/>
  <c r="E6" i="13"/>
  <c r="G6" i="13" s="1"/>
  <c r="E7" i="13"/>
  <c r="G7" i="13" s="1"/>
  <c r="E8" i="13"/>
  <c r="G8" i="13" s="1"/>
  <c r="E9" i="13"/>
  <c r="G9" i="13" s="1"/>
  <c r="E10" i="13"/>
  <c r="G10" i="13" s="1"/>
  <c r="E11" i="13"/>
  <c r="G11" i="13" s="1"/>
  <c r="E12" i="13"/>
  <c r="G12" i="13" s="1"/>
  <c r="E13" i="13"/>
  <c r="G13" i="13" s="1"/>
  <c r="E14" i="13"/>
  <c r="G14" i="13" s="1"/>
  <c r="E15" i="13"/>
  <c r="G15" i="13" s="1"/>
  <c r="E16" i="13"/>
  <c r="G16" i="13" s="1"/>
  <c r="E17" i="13"/>
  <c r="G17" i="13" s="1"/>
  <c r="J2" i="15"/>
  <c r="J75" i="15" l="1"/>
  <c r="P3" i="11"/>
  <c r="P2" i="11"/>
  <c r="P2" i="9"/>
  <c r="P3" i="5"/>
  <c r="P4" i="5"/>
  <c r="P5" i="5"/>
  <c r="P6" i="5"/>
  <c r="P7" i="5"/>
  <c r="P8" i="5"/>
  <c r="P9" i="5"/>
  <c r="P10" i="5"/>
  <c r="P11" i="5"/>
  <c r="P52" i="5"/>
  <c r="P54" i="5"/>
  <c r="P56" i="5"/>
  <c r="P57" i="5"/>
  <c r="P2" i="5"/>
  <c r="U4" i="8" l="1"/>
  <c r="T4" i="8"/>
  <c r="S4" i="8"/>
  <c r="R19" i="14"/>
  <c r="P19" i="14"/>
  <c r="O19" i="14"/>
  <c r="N19" i="14"/>
  <c r="Q18" i="14"/>
  <c r="S18" i="14" s="1"/>
  <c r="Q17" i="14"/>
  <c r="S17" i="14" s="1"/>
  <c r="Q16" i="14"/>
  <c r="S16" i="14" s="1"/>
  <c r="Q15" i="14"/>
  <c r="S15" i="14" s="1"/>
  <c r="Q14" i="14"/>
  <c r="S14" i="14" s="1"/>
  <c r="Q13" i="14"/>
  <c r="S13" i="14" s="1"/>
  <c r="Q12" i="14"/>
  <c r="S12" i="14" s="1"/>
  <c r="Q11" i="14"/>
  <c r="S11" i="14" s="1"/>
  <c r="Q10" i="14"/>
  <c r="S10" i="14" s="1"/>
  <c r="Q9" i="14"/>
  <c r="S9" i="14" s="1"/>
  <c r="Q8" i="14"/>
  <c r="S8" i="14" s="1"/>
  <c r="Q7" i="14"/>
  <c r="S7" i="14" s="1"/>
  <c r="Q6" i="14"/>
  <c r="S6" i="14" s="1"/>
  <c r="Q5" i="14"/>
  <c r="S5" i="14" s="1"/>
  <c r="Q4" i="14"/>
  <c r="N18" i="13"/>
  <c r="L18" i="13"/>
  <c r="M17" i="13"/>
  <c r="O17" i="13" s="1"/>
  <c r="M16" i="13"/>
  <c r="O16" i="13" s="1"/>
  <c r="M15" i="13"/>
  <c r="O15" i="13" s="1"/>
  <c r="M14" i="13"/>
  <c r="O14" i="13" s="1"/>
  <c r="M13" i="13"/>
  <c r="O13" i="13" s="1"/>
  <c r="M12" i="13"/>
  <c r="O12" i="13" s="1"/>
  <c r="M11" i="13"/>
  <c r="O11" i="13" s="1"/>
  <c r="M10" i="13"/>
  <c r="O10" i="13" s="1"/>
  <c r="M9" i="13"/>
  <c r="O9" i="13" s="1"/>
  <c r="M8" i="13"/>
  <c r="O8" i="13" s="1"/>
  <c r="M7" i="13"/>
  <c r="O7" i="13" s="1"/>
  <c r="M6" i="13"/>
  <c r="O6" i="13" s="1"/>
  <c r="M5" i="13"/>
  <c r="O5" i="13" s="1"/>
  <c r="M4" i="13"/>
  <c r="O4" i="13" s="1"/>
  <c r="M3" i="13"/>
  <c r="O3" i="13" s="1"/>
  <c r="H19" i="14"/>
  <c r="F19" i="14"/>
  <c r="E19" i="14"/>
  <c r="D19" i="14"/>
  <c r="G18" i="14"/>
  <c r="I18" i="14" s="1"/>
  <c r="G17" i="14"/>
  <c r="I17" i="14" s="1"/>
  <c r="G16" i="14"/>
  <c r="I16" i="14" s="1"/>
  <c r="G15" i="14"/>
  <c r="I15" i="14" s="1"/>
  <c r="G14" i="14"/>
  <c r="I14" i="14" s="1"/>
  <c r="G13" i="14"/>
  <c r="I13" i="14" s="1"/>
  <c r="G12" i="14"/>
  <c r="I12" i="14" s="1"/>
  <c r="G11" i="14"/>
  <c r="I11" i="14" s="1"/>
  <c r="G10" i="14"/>
  <c r="I10" i="14" s="1"/>
  <c r="G9" i="14"/>
  <c r="I9" i="14" s="1"/>
  <c r="G8" i="14"/>
  <c r="I8" i="14" s="1"/>
  <c r="G7" i="14"/>
  <c r="I7" i="14" s="1"/>
  <c r="G6" i="14"/>
  <c r="I6" i="14" s="1"/>
  <c r="G5" i="14"/>
  <c r="I5" i="14" s="1"/>
  <c r="G4" i="14"/>
  <c r="I4" i="14" s="1"/>
  <c r="F18" i="13"/>
  <c r="D18" i="13"/>
  <c r="E3" i="13"/>
  <c r="G3" i="13" s="1"/>
  <c r="H21" i="8"/>
  <c r="O3" i="8"/>
  <c r="P3" i="8"/>
  <c r="N3" i="8"/>
  <c r="G3" i="10"/>
  <c r="G3" i="9"/>
  <c r="O18" i="13" l="1"/>
  <c r="C11" i="8" s="1"/>
  <c r="H15" i="8"/>
  <c r="K15" i="8"/>
  <c r="G15" i="8"/>
  <c r="I15" i="8"/>
  <c r="J15" i="8"/>
  <c r="F15" i="8"/>
  <c r="Q19" i="14"/>
  <c r="S19" i="14" s="1"/>
  <c r="S4" i="14"/>
  <c r="M18" i="13"/>
  <c r="E18" i="13"/>
  <c r="G18" i="13" s="1"/>
  <c r="C9" i="8" s="1"/>
  <c r="G19" i="14"/>
  <c r="F21" i="8"/>
  <c r="G21" i="8"/>
  <c r="I21" i="8"/>
  <c r="J21" i="8"/>
  <c r="K21" i="8"/>
  <c r="C12" i="8" l="1"/>
  <c r="I19" i="14"/>
  <c r="C10" i="8" s="1"/>
  <c r="G16" i="8" s="1"/>
  <c r="G18" i="8" l="1"/>
  <c r="G17" i="8"/>
  <c r="F16" i="8"/>
  <c r="F10" i="8" s="1"/>
  <c r="I16" i="8"/>
  <c r="I10" i="8" s="1"/>
  <c r="K16" i="8"/>
  <c r="J16" i="8"/>
  <c r="H16" i="8"/>
  <c r="G10" i="8"/>
  <c r="H8" i="15" l="1" a="1"/>
  <c r="H8" i="15" s="1"/>
  <c r="I8" i="15" s="1"/>
  <c r="H9" i="15" a="1"/>
  <c r="H9" i="15" s="1"/>
  <c r="I9" i="15" s="1"/>
  <c r="H12" i="15" a="1"/>
  <c r="H12" i="15" s="1"/>
  <c r="I12" i="15" s="1"/>
  <c r="H10" i="15" a="1"/>
  <c r="H10" i="15" s="1"/>
  <c r="I10" i="15" s="1"/>
  <c r="H11" i="15" a="1"/>
  <c r="H11" i="15" s="1"/>
  <c r="I11" i="15" s="1"/>
  <c r="H7" i="5" a="1"/>
  <c r="H7" i="5" s="1"/>
  <c r="H4" i="5" a="1"/>
  <c r="H4" i="5" s="1"/>
  <c r="H8" i="5" a="1"/>
  <c r="H8" i="5" s="1"/>
  <c r="H5" i="5" a="1"/>
  <c r="H5" i="5" s="1"/>
  <c r="H6" i="5" a="1"/>
  <c r="H6" i="5" s="1"/>
  <c r="H5" i="11" a="1"/>
  <c r="H5" i="11" s="1"/>
  <c r="H4" i="11" a="1"/>
  <c r="H4" i="11" s="1"/>
  <c r="H26" i="15" a="1"/>
  <c r="H26" i="15" s="1"/>
  <c r="I26" i="15" s="1"/>
  <c r="H13" i="15" a="1"/>
  <c r="H13" i="15" s="1"/>
  <c r="I13" i="15" s="1"/>
  <c r="H17" i="15" a="1"/>
  <c r="H17" i="15" s="1"/>
  <c r="I17" i="15" s="1"/>
  <c r="H21" i="15" a="1"/>
  <c r="H21" i="15" s="1"/>
  <c r="I21" i="15" s="1"/>
  <c r="H25" i="15" a="1"/>
  <c r="H25" i="15" s="1"/>
  <c r="I25" i="15" s="1"/>
  <c r="H30" i="15" a="1"/>
  <c r="H30" i="15" s="1"/>
  <c r="I30" i="15" s="1"/>
  <c r="H31" i="5" a="1"/>
  <c r="H31" i="5" s="1"/>
  <c r="H35" i="5" a="1"/>
  <c r="H35" i="5" s="1"/>
  <c r="H39" i="5" a="1"/>
  <c r="H39" i="5" s="1"/>
  <c r="H29" i="5" a="1"/>
  <c r="H29" i="5" s="1"/>
  <c r="H20" i="15" a="1"/>
  <c r="H20" i="15" s="1"/>
  <c r="I20" i="15" s="1"/>
  <c r="H38" i="5" a="1"/>
  <c r="H38" i="5" s="1"/>
  <c r="H14" i="15" a="1"/>
  <c r="H14" i="15" s="1"/>
  <c r="I14" i="15" s="1"/>
  <c r="H18" i="15" a="1"/>
  <c r="H18" i="15" s="1"/>
  <c r="I18" i="15" s="1"/>
  <c r="H22" i="15" a="1"/>
  <c r="H22" i="15" s="1"/>
  <c r="I22" i="15" s="1"/>
  <c r="H27" i="15" a="1"/>
  <c r="H27" i="15" s="1"/>
  <c r="I27" i="15" s="1"/>
  <c r="H31" i="15" a="1"/>
  <c r="H31" i="15" s="1"/>
  <c r="I31" i="15" s="1"/>
  <c r="H28" i="5" a="1"/>
  <c r="H28" i="5" s="1"/>
  <c r="H32" i="5" a="1"/>
  <c r="H32" i="5" s="1"/>
  <c r="H36" i="5" a="1"/>
  <c r="H36" i="5" s="1"/>
  <c r="H40" i="5" a="1"/>
  <c r="H40" i="5" s="1"/>
  <c r="H43" i="5" a="1"/>
  <c r="H43" i="5" s="1"/>
  <c r="H37" i="5" a="1"/>
  <c r="H37" i="5" s="1"/>
  <c r="H24" i="15" a="1"/>
  <c r="H24" i="15" s="1"/>
  <c r="I24" i="15" s="1"/>
  <c r="H34" i="5" a="1"/>
  <c r="H34" i="5" s="1"/>
  <c r="H15" i="15" a="1"/>
  <c r="H15" i="15" s="1"/>
  <c r="I15" i="15" s="1"/>
  <c r="H19" i="15" a="1"/>
  <c r="H19" i="15" s="1"/>
  <c r="I19" i="15" s="1"/>
  <c r="H23" i="15" a="1"/>
  <c r="H23" i="15" s="1"/>
  <c r="I23" i="15" s="1"/>
  <c r="H28" i="15" a="1"/>
  <c r="H28" i="15" s="1"/>
  <c r="I28" i="15" s="1"/>
  <c r="H32" i="15" a="1"/>
  <c r="H32" i="15" s="1"/>
  <c r="I32" i="15" s="1"/>
  <c r="H33" i="5" a="1"/>
  <c r="H33" i="5" s="1"/>
  <c r="H41" i="5" a="1"/>
  <c r="H41" i="5" s="1"/>
  <c r="H16" i="15" a="1"/>
  <c r="H16" i="15" s="1"/>
  <c r="I16" i="15" s="1"/>
  <c r="H29" i="15" a="1"/>
  <c r="H29" i="15" s="1"/>
  <c r="I29" i="15" s="1"/>
  <c r="H30" i="5" a="1"/>
  <c r="H30" i="5" s="1"/>
  <c r="H42" i="5" a="1"/>
  <c r="H42" i="5" s="1"/>
  <c r="I4" i="11"/>
  <c r="I5" i="11"/>
  <c r="I43" i="5"/>
  <c r="I30" i="5"/>
  <c r="I38" i="5"/>
  <c r="I31" i="5"/>
  <c r="I35" i="5"/>
  <c r="I39" i="5"/>
  <c r="I32" i="5"/>
  <c r="I40" i="5"/>
  <c r="I28" i="5"/>
  <c r="I36" i="5"/>
  <c r="I29" i="5"/>
  <c r="I33" i="5"/>
  <c r="I37" i="5"/>
  <c r="I41" i="5"/>
  <c r="I34" i="5"/>
  <c r="I42" i="5"/>
  <c r="F18" i="8"/>
  <c r="F17" i="8"/>
  <c r="H17" i="8"/>
  <c r="H18" i="8"/>
  <c r="J10" i="8"/>
  <c r="J17" i="8"/>
  <c r="J18" i="8"/>
  <c r="K18" i="8"/>
  <c r="K17" i="8"/>
  <c r="I17" i="8"/>
  <c r="I18" i="8"/>
  <c r="H10" i="8"/>
  <c r="O17" i="8"/>
  <c r="O19" i="8" s="1"/>
  <c r="P17" i="8"/>
  <c r="P19" i="8" s="1"/>
  <c r="I55" i="5" l="1"/>
  <c r="J55" i="5" s="1"/>
  <c r="H37" i="15" a="1"/>
  <c r="H37" i="15" s="1"/>
  <c r="I37" i="15" s="1"/>
  <c r="H36" i="15" a="1"/>
  <c r="H36" i="15" s="1"/>
  <c r="I36" i="15" s="1"/>
  <c r="H16" i="5" a="1"/>
  <c r="H16" i="5" s="1"/>
  <c r="H39" i="15" a="1"/>
  <c r="H39" i="15" s="1"/>
  <c r="I39" i="15" s="1"/>
  <c r="H47" i="15" a="1"/>
  <c r="H47" i="15" s="1"/>
  <c r="I47" i="15" s="1"/>
  <c r="H34" i="15" a="1"/>
  <c r="H34" i="15" s="1"/>
  <c r="I34" i="15" s="1"/>
  <c r="H48" i="15" a="1"/>
  <c r="H48" i="15" s="1"/>
  <c r="I48" i="15" s="1"/>
  <c r="H2" i="10" a="1"/>
  <c r="H2" i="10" s="1"/>
  <c r="H33" i="15" a="1"/>
  <c r="H33" i="15" s="1"/>
  <c r="I33" i="15" s="1"/>
  <c r="H41" i="15" a="1"/>
  <c r="H41" i="15" s="1"/>
  <c r="I41" i="15" s="1"/>
  <c r="H45" i="15" a="1"/>
  <c r="H45" i="15" s="1"/>
  <c r="I45" i="15" s="1"/>
  <c r="H51" i="15" a="1"/>
  <c r="H51" i="15" s="1"/>
  <c r="I51" i="15" s="1"/>
  <c r="H55" i="15" a="1"/>
  <c r="H55" i="15" s="1"/>
  <c r="I55" i="15" s="1"/>
  <c r="H14" i="5" a="1"/>
  <c r="H14" i="5" s="1"/>
  <c r="H19" i="5" a="1"/>
  <c r="H19" i="5" s="1"/>
  <c r="H23" i="5" a="1"/>
  <c r="H23" i="5" s="1"/>
  <c r="H27" i="5" a="1"/>
  <c r="H27" i="5" s="1"/>
  <c r="H40" i="15" a="1"/>
  <c r="H40" i="15" s="1"/>
  <c r="I40" i="15" s="1"/>
  <c r="H44" i="15" a="1"/>
  <c r="H44" i="15" s="1"/>
  <c r="I44" i="15" s="1"/>
  <c r="H22" i="5" a="1"/>
  <c r="H22" i="5" s="1"/>
  <c r="H35" i="15" a="1"/>
  <c r="H35" i="15" s="1"/>
  <c r="I35" i="15" s="1"/>
  <c r="H42" i="15" a="1"/>
  <c r="H42" i="15" s="1"/>
  <c r="I42" i="15" s="1"/>
  <c r="H46" i="15" a="1"/>
  <c r="H46" i="15" s="1"/>
  <c r="I46" i="15" s="1"/>
  <c r="H52" i="15" a="1"/>
  <c r="H52" i="15" s="1"/>
  <c r="I52" i="15" s="1"/>
  <c r="H15" i="5" a="1"/>
  <c r="H15" i="5" s="1"/>
  <c r="H20" i="5" a="1"/>
  <c r="H20" i="5" s="1"/>
  <c r="H24" i="5" a="1"/>
  <c r="H24" i="5" s="1"/>
  <c r="H50" i="15" a="1"/>
  <c r="H50" i="15" s="1"/>
  <c r="I50" i="15" s="1"/>
  <c r="H13" i="5" a="1"/>
  <c r="H13" i="5" s="1"/>
  <c r="H18" i="5" a="1"/>
  <c r="H18" i="5" s="1"/>
  <c r="H38" i="15" a="1"/>
  <c r="H38" i="15" s="1"/>
  <c r="I38" i="15" s="1"/>
  <c r="H43" i="15" a="1"/>
  <c r="H43" i="15" s="1"/>
  <c r="I43" i="15" s="1"/>
  <c r="H49" i="15" a="1"/>
  <c r="H49" i="15" s="1"/>
  <c r="I49" i="15" s="1"/>
  <c r="H53" i="15" a="1"/>
  <c r="H53" i="15" s="1"/>
  <c r="I53" i="15" s="1"/>
  <c r="H12" i="5" a="1"/>
  <c r="H12" i="5" s="1"/>
  <c r="H17" i="5" a="1"/>
  <c r="H17" i="5" s="1"/>
  <c r="H21" i="5" a="1"/>
  <c r="H21" i="5" s="1"/>
  <c r="H25" i="5" a="1"/>
  <c r="H25" i="5" s="1"/>
  <c r="H54" i="15" a="1"/>
  <c r="H54" i="15" s="1"/>
  <c r="I54" i="15" s="1"/>
  <c r="H26" i="5" a="1"/>
  <c r="H26" i="5" s="1"/>
  <c r="H10" i="5" a="1"/>
  <c r="H10" i="5" s="1"/>
  <c r="H11" i="5" a="1"/>
  <c r="H11" i="5" s="1"/>
  <c r="H2" i="9" a="1"/>
  <c r="H2" i="9" s="1"/>
  <c r="H9" i="5" a="1"/>
  <c r="H9" i="5" s="1"/>
  <c r="J5" i="11"/>
  <c r="O5" i="11"/>
  <c r="J4" i="11"/>
  <c r="O4" i="11"/>
  <c r="I53" i="5"/>
  <c r="I2" i="10"/>
  <c r="I16" i="5"/>
  <c r="J34" i="5"/>
  <c r="O34" i="5"/>
  <c r="J29" i="5"/>
  <c r="O29" i="5"/>
  <c r="O32" i="5"/>
  <c r="J32" i="5"/>
  <c r="J38" i="5"/>
  <c r="O38" i="5"/>
  <c r="J41" i="5"/>
  <c r="O41" i="5"/>
  <c r="O36" i="5"/>
  <c r="J36" i="5"/>
  <c r="J39" i="5"/>
  <c r="O39" i="5"/>
  <c r="J30" i="5"/>
  <c r="O30" i="5"/>
  <c r="I47" i="5"/>
  <c r="I44" i="5"/>
  <c r="I48" i="5"/>
  <c r="I45" i="5"/>
  <c r="I49" i="5"/>
  <c r="I46" i="5"/>
  <c r="I50" i="5"/>
  <c r="J37" i="5"/>
  <c r="O37" i="5"/>
  <c r="O28" i="5"/>
  <c r="J28" i="5"/>
  <c r="J35" i="5"/>
  <c r="O35" i="5"/>
  <c r="O43" i="5"/>
  <c r="J43" i="5"/>
  <c r="I14" i="5"/>
  <c r="I22" i="5"/>
  <c r="I15" i="5"/>
  <c r="I19" i="5"/>
  <c r="I23" i="5"/>
  <c r="I27" i="5"/>
  <c r="I12" i="5"/>
  <c r="I24" i="5"/>
  <c r="I17" i="5"/>
  <c r="I20" i="5"/>
  <c r="I13" i="5"/>
  <c r="I21" i="5"/>
  <c r="I25" i="5"/>
  <c r="I18" i="5"/>
  <c r="I26" i="5"/>
  <c r="J42" i="5"/>
  <c r="O42" i="5"/>
  <c r="J33" i="5"/>
  <c r="O33" i="5"/>
  <c r="O40" i="5"/>
  <c r="J40" i="5"/>
  <c r="J31" i="5"/>
  <c r="O31" i="5"/>
  <c r="I51" i="5"/>
  <c r="I56" i="5"/>
  <c r="O56" i="5" s="1"/>
  <c r="P5" i="8"/>
  <c r="P7" i="8" s="1"/>
  <c r="I11" i="5"/>
  <c r="I57" i="5"/>
  <c r="O57" i="5" s="1"/>
  <c r="I54" i="5"/>
  <c r="O54" i="5" s="1"/>
  <c r="P11" i="8"/>
  <c r="P13" i="8" s="1"/>
  <c r="I9" i="5"/>
  <c r="I10" i="5"/>
  <c r="I52" i="5"/>
  <c r="O5" i="8"/>
  <c r="O7" i="8" s="1"/>
  <c r="I4" i="5"/>
  <c r="O4" i="5" s="1"/>
  <c r="I5" i="5"/>
  <c r="O5" i="5" s="1"/>
  <c r="I2" i="9"/>
  <c r="K10" i="8"/>
  <c r="O11" i="8"/>
  <c r="O55" i="5" l="1"/>
  <c r="I2" i="5"/>
  <c r="O10" i="5"/>
  <c r="H59" i="15" a="1"/>
  <c r="H59" i="15" s="1"/>
  <c r="I59" i="15" s="1"/>
  <c r="H58" i="15" a="1"/>
  <c r="H58" i="15" s="1"/>
  <c r="I58" i="15" s="1"/>
  <c r="H65" i="15" a="1"/>
  <c r="H65" i="15" s="1"/>
  <c r="I65" i="15" s="1"/>
  <c r="H56" i="15" a="1"/>
  <c r="H56" i="15" s="1"/>
  <c r="I56" i="15" s="1"/>
  <c r="H62" i="15" a="1"/>
  <c r="H62" i="15" s="1"/>
  <c r="I62" i="15" s="1"/>
  <c r="H46" i="5" a="1"/>
  <c r="H46" i="5" s="1"/>
  <c r="O46" i="5" s="1"/>
  <c r="H50" i="5" a="1"/>
  <c r="H50" i="5" s="1"/>
  <c r="O50" i="5" s="1"/>
  <c r="H45" i="5" a="1"/>
  <c r="H45" i="5" s="1"/>
  <c r="O45" i="5" s="1"/>
  <c r="H57" i="15" a="1"/>
  <c r="H57" i="15" s="1"/>
  <c r="I57" i="15" s="1"/>
  <c r="H63" i="15" a="1"/>
  <c r="H63" i="15" s="1"/>
  <c r="I63" i="15" s="1"/>
  <c r="H47" i="5" a="1"/>
  <c r="H47" i="5" s="1"/>
  <c r="J47" i="5" s="1"/>
  <c r="H61" i="15" a="1"/>
  <c r="H61" i="15" s="1"/>
  <c r="I61" i="15" s="1"/>
  <c r="H66" i="15" a="1"/>
  <c r="H66" i="15" s="1"/>
  <c r="I66" i="15" s="1"/>
  <c r="H49" i="5" a="1"/>
  <c r="H49" i="5" s="1"/>
  <c r="O49" i="5" s="1"/>
  <c r="H60" i="15" a="1"/>
  <c r="H60" i="15" s="1"/>
  <c r="I60" i="15" s="1"/>
  <c r="H64" i="15" a="1"/>
  <c r="H64" i="15" s="1"/>
  <c r="I64" i="15" s="1"/>
  <c r="H44" i="5" a="1"/>
  <c r="H44" i="5" s="1"/>
  <c r="O44" i="5" s="1"/>
  <c r="H48" i="5" a="1"/>
  <c r="H48" i="5" s="1"/>
  <c r="O48" i="5" s="1"/>
  <c r="H52" i="5" a="1"/>
  <c r="H52" i="5" s="1"/>
  <c r="O52" i="5" s="1"/>
  <c r="H51" i="5" a="1"/>
  <c r="H51" i="5" s="1"/>
  <c r="O51" i="5" s="1"/>
  <c r="O11" i="5"/>
  <c r="O2" i="9"/>
  <c r="O9" i="5"/>
  <c r="O2" i="10"/>
  <c r="J2" i="10"/>
  <c r="O16" i="5"/>
  <c r="J16" i="5"/>
  <c r="J53" i="5"/>
  <c r="O53" i="5"/>
  <c r="J26" i="5"/>
  <c r="O26" i="5"/>
  <c r="O24" i="5"/>
  <c r="J24" i="5"/>
  <c r="J19" i="5"/>
  <c r="O19" i="5"/>
  <c r="J18" i="5"/>
  <c r="O18" i="5"/>
  <c r="J13" i="5"/>
  <c r="O13" i="5"/>
  <c r="O12" i="5"/>
  <c r="J12" i="5"/>
  <c r="J15" i="5"/>
  <c r="O15" i="5"/>
  <c r="J25" i="5"/>
  <c r="O25" i="5"/>
  <c r="O20" i="5"/>
  <c r="J20" i="5"/>
  <c r="J27" i="5"/>
  <c r="O27" i="5"/>
  <c r="J22" i="5"/>
  <c r="O22" i="5"/>
  <c r="J21" i="5"/>
  <c r="O21" i="5"/>
  <c r="O17" i="5"/>
  <c r="J17" i="5"/>
  <c r="J23" i="5"/>
  <c r="O23" i="5"/>
  <c r="J14" i="5"/>
  <c r="O14" i="5"/>
  <c r="I3" i="11"/>
  <c r="I3" i="5"/>
  <c r="I2" i="11"/>
  <c r="P22" i="8"/>
  <c r="J11" i="5"/>
  <c r="J4" i="5"/>
  <c r="J2" i="9"/>
  <c r="I6" i="5"/>
  <c r="O6" i="5" s="1"/>
  <c r="I7" i="5"/>
  <c r="O7" i="5" s="1"/>
  <c r="I8" i="5"/>
  <c r="O8" i="5" s="1"/>
  <c r="N11" i="8"/>
  <c r="N13" i="8" s="1"/>
  <c r="K4" i="11" s="1"/>
  <c r="N5" i="8"/>
  <c r="N7" i="8" s="1"/>
  <c r="N17" i="8"/>
  <c r="N19" i="8" s="1"/>
  <c r="O13" i="8"/>
  <c r="O22" i="8" s="1"/>
  <c r="J10" i="5"/>
  <c r="J57" i="5"/>
  <c r="J46" i="5" l="1"/>
  <c r="K46" i="5" s="1"/>
  <c r="O47" i="5"/>
  <c r="H6" i="15" a="1"/>
  <c r="H6" i="15" s="1"/>
  <c r="I6" i="15" s="1"/>
  <c r="H3" i="15" a="1"/>
  <c r="H3" i="15" s="1"/>
  <c r="I3" i="15" s="1"/>
  <c r="H7" i="15" a="1"/>
  <c r="H7" i="15" s="1"/>
  <c r="I7" i="15" s="1"/>
  <c r="H4" i="15" a="1"/>
  <c r="H4" i="15" s="1"/>
  <c r="I4" i="15" s="1"/>
  <c r="H5" i="15" a="1"/>
  <c r="H5" i="15" s="1"/>
  <c r="I5" i="15" s="1"/>
  <c r="H2" i="15" a="1"/>
  <c r="H2" i="15" s="1"/>
  <c r="I2" i="15" s="1"/>
  <c r="H3" i="5" a="1"/>
  <c r="H3" i="5" s="1"/>
  <c r="O3" i="5" s="1"/>
  <c r="H3" i="11" a="1"/>
  <c r="H3" i="11" s="1"/>
  <c r="O3" i="11" s="1"/>
  <c r="H2" i="11" a="1"/>
  <c r="H2" i="11" s="1"/>
  <c r="O2" i="11" s="1"/>
  <c r="H2" i="5" a="1"/>
  <c r="H2" i="5" s="1"/>
  <c r="O2" i="5" s="1"/>
  <c r="J50" i="5"/>
  <c r="M50" i="5" s="1"/>
  <c r="J49" i="5"/>
  <c r="M49" i="5" s="1"/>
  <c r="J45" i="5"/>
  <c r="M45" i="5" s="1"/>
  <c r="J44" i="5"/>
  <c r="M44" i="5" s="1"/>
  <c r="J48" i="5"/>
  <c r="M48" i="5" s="1"/>
  <c r="M43" i="5"/>
  <c r="K55" i="5"/>
  <c r="M55" i="5"/>
  <c r="M5" i="11"/>
  <c r="L4" i="11"/>
  <c r="N4" i="11"/>
  <c r="K5" i="11"/>
  <c r="M4" i="11"/>
  <c r="K53" i="5"/>
  <c r="M53" i="5"/>
  <c r="K16" i="5"/>
  <c r="M16" i="5"/>
  <c r="M2" i="10"/>
  <c r="K2" i="10"/>
  <c r="K29" i="5"/>
  <c r="N29" i="5" s="1"/>
  <c r="M34" i="5"/>
  <c r="M28" i="5"/>
  <c r="M40" i="5"/>
  <c r="K38" i="5"/>
  <c r="L38" i="5" s="1"/>
  <c r="M41" i="5"/>
  <c r="K39" i="5"/>
  <c r="L39" i="5" s="1"/>
  <c r="M29" i="5"/>
  <c r="K33" i="5"/>
  <c r="N33" i="5" s="1"/>
  <c r="K36" i="5"/>
  <c r="L36" i="5" s="1"/>
  <c r="K35" i="5"/>
  <c r="N35" i="5" s="1"/>
  <c r="M14" i="5"/>
  <c r="K14" i="5"/>
  <c r="K20" i="5"/>
  <c r="M20" i="5"/>
  <c r="K25" i="5"/>
  <c r="M25" i="5"/>
  <c r="M18" i="5"/>
  <c r="K18" i="5"/>
  <c r="M32" i="5"/>
  <c r="K40" i="5"/>
  <c r="K41" i="5"/>
  <c r="K28" i="5"/>
  <c r="M38" i="5"/>
  <c r="K12" i="5"/>
  <c r="M12" i="5"/>
  <c r="K13" i="5"/>
  <c r="M13" i="5"/>
  <c r="M39" i="5"/>
  <c r="M35" i="5"/>
  <c r="M19" i="5"/>
  <c r="K19" i="5"/>
  <c r="K17" i="5"/>
  <c r="M17" i="5"/>
  <c r="K21" i="5"/>
  <c r="M21" i="5"/>
  <c r="M47" i="5"/>
  <c r="K47" i="5"/>
  <c r="K32" i="5"/>
  <c r="M23" i="5"/>
  <c r="K23" i="5"/>
  <c r="M33" i="5"/>
  <c r="K34" i="5"/>
  <c r="M36" i="5"/>
  <c r="M37" i="5"/>
  <c r="M27" i="5"/>
  <c r="K27" i="5"/>
  <c r="K42" i="5"/>
  <c r="K30" i="5"/>
  <c r="K31" i="5"/>
  <c r="K43" i="5"/>
  <c r="M26" i="5"/>
  <c r="K26" i="5"/>
  <c r="K37" i="5"/>
  <c r="M22" i="5"/>
  <c r="K22" i="5"/>
  <c r="M42" i="5"/>
  <c r="M30" i="5"/>
  <c r="M15" i="5"/>
  <c r="K15" i="5"/>
  <c r="M31" i="5"/>
  <c r="K24" i="5"/>
  <c r="M24" i="5"/>
  <c r="J6" i="5"/>
  <c r="M6" i="5" s="1"/>
  <c r="N22" i="8"/>
  <c r="J8" i="5"/>
  <c r="M8" i="5" s="1"/>
  <c r="J7" i="5"/>
  <c r="M7" i="5" s="1"/>
  <c r="M11" i="5"/>
  <c r="K4" i="5"/>
  <c r="N4" i="5" s="1"/>
  <c r="M4" i="5"/>
  <c r="K2" i="9"/>
  <c r="N2" i="9" s="1"/>
  <c r="M2" i="9"/>
  <c r="K11" i="5"/>
  <c r="M57" i="5"/>
  <c r="K57" i="5"/>
  <c r="L57" i="5" s="1"/>
  <c r="K10" i="5"/>
  <c r="M10" i="5"/>
  <c r="J9" i="5"/>
  <c r="J52" i="5"/>
  <c r="J56" i="5"/>
  <c r="J5" i="5"/>
  <c r="J54" i="5"/>
  <c r="J51" i="5"/>
  <c r="M46" i="5" l="1"/>
  <c r="J2" i="11"/>
  <c r="K2" i="11" s="1"/>
  <c r="L2" i="11" s="1"/>
  <c r="K50" i="5"/>
  <c r="L50" i="5" s="1"/>
  <c r="J3" i="5"/>
  <c r="M3" i="5" s="1"/>
  <c r="I75" i="15"/>
  <c r="J3" i="11"/>
  <c r="K3" i="11" s="1"/>
  <c r="N3" i="11" s="1"/>
  <c r="K49" i="5"/>
  <c r="L49" i="5" s="1"/>
  <c r="L33" i="5"/>
  <c r="K45" i="5"/>
  <c r="N45" i="5" s="1"/>
  <c r="K44" i="5"/>
  <c r="N44" i="5" s="1"/>
  <c r="K48" i="5"/>
  <c r="L48" i="5" s="1"/>
  <c r="N55" i="5"/>
  <c r="L55" i="5"/>
  <c r="L5" i="11"/>
  <c r="N5" i="11"/>
  <c r="L53" i="5"/>
  <c r="N53" i="5"/>
  <c r="L16" i="5"/>
  <c r="N16" i="5"/>
  <c r="L35" i="5"/>
  <c r="L2" i="10"/>
  <c r="N2" i="10"/>
  <c r="N36" i="5"/>
  <c r="L29" i="5"/>
  <c r="N38" i="5"/>
  <c r="N39" i="5"/>
  <c r="L22" i="5"/>
  <c r="N22" i="5"/>
  <c r="L20" i="5"/>
  <c r="N20" i="5"/>
  <c r="L43" i="5"/>
  <c r="N43" i="5"/>
  <c r="L23" i="5"/>
  <c r="N23" i="5"/>
  <c r="L21" i="5"/>
  <c r="N21" i="5"/>
  <c r="L28" i="5"/>
  <c r="N28" i="5"/>
  <c r="L18" i="5"/>
  <c r="N18" i="5"/>
  <c r="L15" i="5"/>
  <c r="N15" i="5"/>
  <c r="L37" i="5"/>
  <c r="N37" i="5"/>
  <c r="L42" i="5"/>
  <c r="N42" i="5"/>
  <c r="L47" i="5"/>
  <c r="N47" i="5"/>
  <c r="L19" i="5"/>
  <c r="N19" i="5"/>
  <c r="L41" i="5"/>
  <c r="N41" i="5"/>
  <c r="L25" i="5"/>
  <c r="N25" i="5"/>
  <c r="L24" i="5"/>
  <c r="N24" i="5"/>
  <c r="L46" i="5"/>
  <c r="N46" i="5"/>
  <c r="L31" i="5"/>
  <c r="N31" i="5"/>
  <c r="L30" i="5"/>
  <c r="N30" i="5"/>
  <c r="L13" i="5"/>
  <c r="N13" i="5"/>
  <c r="L26" i="5"/>
  <c r="N26" i="5"/>
  <c r="L27" i="5"/>
  <c r="N27" i="5"/>
  <c r="L34" i="5"/>
  <c r="N34" i="5"/>
  <c r="L32" i="5"/>
  <c r="N32" i="5"/>
  <c r="L17" i="5"/>
  <c r="N17" i="5"/>
  <c r="L12" i="5"/>
  <c r="N12" i="5"/>
  <c r="L40" i="5"/>
  <c r="N40" i="5"/>
  <c r="L14" i="5"/>
  <c r="N14" i="5"/>
  <c r="K6" i="5"/>
  <c r="L6" i="5" s="1"/>
  <c r="K7" i="5"/>
  <c r="L7" i="5" s="1"/>
  <c r="K8" i="5"/>
  <c r="L8" i="5" s="1"/>
  <c r="L4" i="5"/>
  <c r="L2" i="9"/>
  <c r="M3" i="9"/>
  <c r="M3" i="10"/>
  <c r="L11" i="5"/>
  <c r="N11" i="5"/>
  <c r="L10" i="5"/>
  <c r="N10" i="5"/>
  <c r="M54" i="5"/>
  <c r="K54" i="5"/>
  <c r="L54" i="5" s="1"/>
  <c r="K9" i="5"/>
  <c r="M9" i="5"/>
  <c r="M5" i="5"/>
  <c r="K5" i="5"/>
  <c r="K52" i="5"/>
  <c r="L52" i="5" s="1"/>
  <c r="M52" i="5"/>
  <c r="M56" i="5"/>
  <c r="K56" i="5"/>
  <c r="L56" i="5" s="1"/>
  <c r="M51" i="5"/>
  <c r="K51" i="5"/>
  <c r="L51" i="5" s="1"/>
  <c r="J2" i="5"/>
  <c r="N2" i="11" l="1"/>
  <c r="M2" i="11"/>
  <c r="N49" i="5"/>
  <c r="N50" i="5"/>
  <c r="K3" i="5"/>
  <c r="L3" i="5" s="1"/>
  <c r="L3" i="11"/>
  <c r="L6" i="11" s="1"/>
  <c r="M3" i="11"/>
  <c r="L45" i="5"/>
  <c r="L44" i="5"/>
  <c r="N48" i="5"/>
  <c r="N6" i="5"/>
  <c r="N8" i="5"/>
  <c r="N7" i="5"/>
  <c r="L3" i="10"/>
  <c r="L9" i="5"/>
  <c r="N9" i="5"/>
  <c r="L5" i="5"/>
  <c r="N5" i="5"/>
  <c r="K2" i="5"/>
  <c r="M2" i="5"/>
  <c r="M58" i="5" s="1"/>
  <c r="M6" i="11" l="1"/>
  <c r="N3" i="5"/>
  <c r="L3" i="9"/>
  <c r="N56" i="5"/>
  <c r="N54" i="5"/>
  <c r="N51" i="5"/>
  <c r="N2" i="5"/>
  <c r="L2" i="5"/>
  <c r="N52" i="5"/>
  <c r="N57" i="5"/>
  <c r="L58" i="5" l="1"/>
  <c r="N24" i="8" l="1"/>
  <c r="N26" i="8" s="1"/>
  <c r="S5" i="8" s="1"/>
  <c r="N29" i="8"/>
  <c r="O29" i="8" l="1"/>
  <c r="Q29" i="8" s="1"/>
  <c r="P24" i="8"/>
  <c r="P25" i="8" s="1"/>
  <c r="O24" i="8"/>
  <c r="O26" i="8" s="1"/>
  <c r="T5" i="8" s="1"/>
  <c r="N25" i="8"/>
  <c r="P26" i="8" l="1"/>
  <c r="U5" i="8" s="1"/>
  <c r="O25" i="8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<sst xmlns="http://schemas.openxmlformats.org/spreadsheetml/2006/main" count="627" uniqueCount="158">
  <si>
    <t>Наименование муниципалитета</t>
  </si>
  <si>
    <t>Художественная</t>
  </si>
  <si>
    <t>Физкультурно-спортивная</t>
  </si>
  <si>
    <t>Количество учебных недель в году</t>
  </si>
  <si>
    <t>Направленность</t>
  </si>
  <si>
    <t>Учреждение</t>
  </si>
  <si>
    <t>Программа</t>
  </si>
  <si>
    <t>Количество мест</t>
  </si>
  <si>
    <t>Норматив затрат по ПФ</t>
  </si>
  <si>
    <t>х</t>
  </si>
  <si>
    <t>Баскетбол</t>
  </si>
  <si>
    <t>Количество учебных часов в неделю</t>
  </si>
  <si>
    <t>ДОХОД учреждения по ПФ ДОД</t>
  </si>
  <si>
    <t>Объем муниципального задания ПФ ДОД, человеко-часов</t>
  </si>
  <si>
    <t>Туристско-краеведческая</t>
  </si>
  <si>
    <t>Затраты на оплату труда АУП</t>
  </si>
  <si>
    <t>Затраты на оплату труда педагогических работников</t>
  </si>
  <si>
    <t>Естественнонаучная</t>
  </si>
  <si>
    <t>Техническая</t>
  </si>
  <si>
    <t>Максимальное число детей в группе</t>
  </si>
  <si>
    <t>Минимальное число детей в группе</t>
  </si>
  <si>
    <t>Затраты на содержание имущества, на час реализации программы</t>
  </si>
  <si>
    <r>
      <t>Средняя норма часов в год на одного ребенка V</t>
    </r>
    <r>
      <rPr>
        <vertAlign val="subscript"/>
        <sz val="12"/>
        <color theme="1"/>
        <rFont val="Calibri"/>
        <family val="2"/>
        <charset val="204"/>
        <scheme val="minor"/>
      </rPr>
      <t>час</t>
    </r>
  </si>
  <si>
    <r>
      <t>Среднее число учащихся на педагога Q</t>
    </r>
    <r>
      <rPr>
        <vertAlign val="subscript"/>
        <sz val="12"/>
        <color theme="1"/>
        <rFont val="Calibri"/>
        <family val="2"/>
        <charset val="204"/>
        <scheme val="minor"/>
      </rPr>
      <t>сред</t>
    </r>
  </si>
  <si>
    <t>Средняя зарплата по региону (целевой индикатор по Указу)</t>
  </si>
  <si>
    <t>Прогнозный уровень инфляции (индексация расходов, не связанных с оплатой труда)</t>
  </si>
  <si>
    <t>Установленный процент охвата</t>
  </si>
  <si>
    <t>Максимальный норматив ПФ</t>
  </si>
  <si>
    <t>В том числе за счет средств областного бюджета (прогнозно)</t>
  </si>
  <si>
    <t>Объем финансового обеспечения ПФ ДОД, рублей</t>
  </si>
  <si>
    <t>Справочно число педчасов на указную зарплату при установленных параметрах</t>
  </si>
  <si>
    <t>Соблюдение установленного охвата</t>
  </si>
  <si>
    <t>Все дети от 5 до 18 лет</t>
  </si>
  <si>
    <t>Отраслевые коэффициенты</t>
  </si>
  <si>
    <t>Адаптированная программа для детей с ОВЗ</t>
  </si>
  <si>
    <t>Программа в дистанционной форме</t>
  </si>
  <si>
    <t>Программа в очно-заочной форме</t>
  </si>
  <si>
    <t>*Не может быть менее устанавливаемого для всех детей в возрасте от 5 до 18 лет</t>
  </si>
  <si>
    <t>Численность детей от 5 до 18 лет, всего</t>
  </si>
  <si>
    <t>Количество учебных недель в периоде обучения</t>
  </si>
  <si>
    <t>Стоимость 1 места в периоде обучения</t>
  </si>
  <si>
    <t>Оплата 1 места в периоде обучения сертификатом</t>
  </si>
  <si>
    <t>Доплата со стороны родителей за 1 место в периоде обучения</t>
  </si>
  <si>
    <t>Нормативные затраты на час Х+1 года</t>
  </si>
  <si>
    <t>Нормативные затраты на час Х+2 года</t>
  </si>
  <si>
    <t>Нормативные затраты на час Х+3 года</t>
  </si>
  <si>
    <t>Дети от 5 до 18 лет с ограниченными возможностями здоровья (ОВЗ)</t>
  </si>
  <si>
    <t>Социально-гуманитарная</t>
  </si>
  <si>
    <t>Дополнительная категория ( запоняется муниципалитетом самостоятельно)</t>
  </si>
  <si>
    <t>Территориальный коэффициент</t>
  </si>
  <si>
    <t>Территориальный коэффициент, установленный уполномоченным органом</t>
  </si>
  <si>
    <t>Объем чел.часов по иным исполнителям</t>
  </si>
  <si>
    <t>рублей</t>
  </si>
  <si>
    <t>Наименование учреждения</t>
  </si>
  <si>
    <t xml:space="preserve">ИНН </t>
  </si>
  <si>
    <t>итого</t>
  </si>
  <si>
    <t>Количество чел/часов по всем программам, реализуемым в учреждении</t>
  </si>
  <si>
    <t>ВСЕГО</t>
  </si>
  <si>
    <t>Затраты на приобретение материальных запасов и движимого имущества</t>
  </si>
  <si>
    <t>Затраты на коммунальные услуги на единицу услуги (общехозяйственные нужды)</t>
  </si>
  <si>
    <t>Затраты на содержание имущества (общехозяйственные нужды)</t>
  </si>
  <si>
    <t>Общехозяйственные нужды</t>
  </si>
  <si>
    <t>Затраты на коммунальные услуги на единицу услуги (связанные с оказанием услуг)</t>
  </si>
  <si>
    <t>Затраты на содержание имущества (связанные с оказанием услуг)</t>
  </si>
  <si>
    <t>Формирование резерва на полное восстановление объектов имущества (связанные с оказанием услуг)</t>
  </si>
  <si>
    <t>Формирование резерва на полное восстановление объектов имущества (общехозяйственные расходы)</t>
  </si>
  <si>
    <t>Затраты на содержание имущества, коммунальные расходы, услуги связи и транспортные расходы</t>
  </si>
  <si>
    <t>Контроль нормативных затрат</t>
  </si>
  <si>
    <t>Норматив затрат МЗ</t>
  </si>
  <si>
    <t>Продолжительность программы в год</t>
  </si>
  <si>
    <t>Затраты на формирование резерва на полное восстановление объектов имущества</t>
  </si>
  <si>
    <t>Норматив МЗ за чел/час</t>
  </si>
  <si>
    <t xml:space="preserve">Объем фин.обеспечения </t>
  </si>
  <si>
    <t>Объем муниципального социального заказа, в том числе</t>
  </si>
  <si>
    <t>Коэффициент доли работников, непосредственно не связанных с оказанием услуги</t>
  </si>
  <si>
    <t>Количество часов для определения номинала сертификата</t>
  </si>
  <si>
    <t>Затраты на медосмотр</t>
  </si>
  <si>
    <t xml:space="preserve">Затраты на содержание недвижимого и особо ценного движимого имущества </t>
  </si>
  <si>
    <t>Затраты на связь</t>
  </si>
  <si>
    <t>Затраты на транспорт</t>
  </si>
  <si>
    <r>
      <t xml:space="preserve"> </t>
    </r>
    <r>
      <rPr>
        <b/>
        <sz val="20"/>
        <color rgb="FFFF0000"/>
        <rFont val="Times New Roman"/>
        <family val="1"/>
        <charset val="204"/>
      </rPr>
      <t>Затраты связанные с оказанием  услуги</t>
    </r>
  </si>
  <si>
    <t>Затраты на коммунальные услуги</t>
  </si>
  <si>
    <t>Затраты  на повышение квалификации, медосмотр и учебную литературу</t>
  </si>
  <si>
    <t>Затраты на приобретение учебной литературы</t>
  </si>
  <si>
    <t>Иной коэффициент устанавливаемый муниципалитетом</t>
  </si>
  <si>
    <t>Номинал социального сертификата, руб.</t>
  </si>
  <si>
    <t>Номинал социального сертификата, часы</t>
  </si>
  <si>
    <t>Число социальных сертификатов для определения объема фин.обеспечения</t>
  </si>
  <si>
    <t>Норматив затрат по МЗ</t>
  </si>
  <si>
    <t>Норматив МЗ</t>
  </si>
  <si>
    <t>По мун.заданию - неконкурентный способ, чел.часы</t>
  </si>
  <si>
    <t>По социальным сертификатам - конкурентный способ, чел.часы</t>
  </si>
  <si>
    <r>
      <t xml:space="preserve">Затраты на коммун.услуги, на час реализации программы </t>
    </r>
    <r>
      <rPr>
        <b/>
        <sz val="10"/>
        <rFont val="Times New Roman"/>
        <family val="1"/>
        <charset val="204"/>
      </rPr>
      <t>(связанные с оказанием услуги)</t>
    </r>
  </si>
  <si>
    <r>
      <t xml:space="preserve">Затраты на коммун.услуги, на час реализации программы </t>
    </r>
    <r>
      <rPr>
        <b/>
        <sz val="10"/>
        <rFont val="Times New Roman"/>
        <family val="1"/>
        <charset val="204"/>
      </rPr>
      <t>(общехозяйственные нужды)</t>
    </r>
  </si>
  <si>
    <t>Затраты на повышение квалификации на 1 педагога в год</t>
  </si>
  <si>
    <t>Затраты на приобрение материальных запасов и движимого имущества</t>
  </si>
  <si>
    <t>В том числе на финансирование иных исполнителей (допустимое значение от 2% до 10%)</t>
  </si>
  <si>
    <t>Объем муниципального задания вне ПФДОД , человеко-часов</t>
  </si>
  <si>
    <t>МАОУ АГО "ЦДО"</t>
  </si>
  <si>
    <t>Развивайка</t>
  </si>
  <si>
    <t>Историческое краеведение</t>
  </si>
  <si>
    <t>Школа юного краеведа</t>
  </si>
  <si>
    <t>Спортивный туризм</t>
  </si>
  <si>
    <t>Природа и художник</t>
  </si>
  <si>
    <t>Увлекательное рукоделие</t>
  </si>
  <si>
    <t>Школа танца</t>
  </si>
  <si>
    <t xml:space="preserve">Бисероплетение </t>
  </si>
  <si>
    <t>Изобразительная деятельность</t>
  </si>
  <si>
    <t>Дети и театр</t>
  </si>
  <si>
    <t>Изобразительное искусство</t>
  </si>
  <si>
    <t>ИграЯпознаю</t>
  </si>
  <si>
    <t>Ритмика</t>
  </si>
  <si>
    <t>Мультфильм - от идеи до воплощения</t>
  </si>
  <si>
    <t xml:space="preserve">
Занимательная робототехника</t>
  </si>
  <si>
    <t xml:space="preserve">
Начальная робототехника</t>
  </si>
  <si>
    <t>Начальная робототехника</t>
  </si>
  <si>
    <t xml:space="preserve">Компьютерный художник </t>
  </si>
  <si>
    <t>Робототехника-основы конструирования и программирования</t>
  </si>
  <si>
    <t xml:space="preserve">КомГрафика </t>
  </si>
  <si>
    <t>Компьютерная графика</t>
  </si>
  <si>
    <t>Увлекательное программирование на Scrath</t>
  </si>
  <si>
    <t>Авиаракетомоделирование</t>
  </si>
  <si>
    <t>Белая ладья 2,3,4 год обучения</t>
  </si>
  <si>
    <t>Белая ладья 1 год обучения</t>
  </si>
  <si>
    <t>Танцевальная аэробика (10-15 лет)</t>
  </si>
  <si>
    <t>Футбол 1 год обучения</t>
  </si>
  <si>
    <t>Спортивная аэробика</t>
  </si>
  <si>
    <t>МАУ ДО "Артинская СШ им ЗТ России ЮВ Мельцова"</t>
  </si>
  <si>
    <t>Самбо (для спортивно-оздоровительных групп) 2-3 год обучения</t>
  </si>
  <si>
    <t>Самбо (для спортивно-оздоровительных групп) 1 год обучения</t>
  </si>
  <si>
    <t>Волейбол (для спортивно-оздоровительных групп)</t>
  </si>
  <si>
    <t>Лыжные гонки</t>
  </si>
  <si>
    <t>Психология здоровья 2</t>
  </si>
  <si>
    <t>Психология здоровья</t>
  </si>
  <si>
    <t>Говорим и читаем правильно</t>
  </si>
  <si>
    <t>Занимательная робототехника</t>
  </si>
  <si>
    <t>ЛЕГО-первое программирование</t>
  </si>
  <si>
    <t>Компьютерный мир с ОВЗ</t>
  </si>
  <si>
    <t>Векторное моделирование</t>
  </si>
  <si>
    <t>Пространственное моделирование</t>
  </si>
  <si>
    <t>Web-дизаин</t>
  </si>
  <si>
    <t>Формирование нравственной, творческой личности ребенка</t>
  </si>
  <si>
    <t>Рисунок, живопись, композиция</t>
  </si>
  <si>
    <t>Основы изобразительного искусства</t>
  </si>
  <si>
    <t>PROувлекательное рукоделие</t>
  </si>
  <si>
    <t>Бисероплетение</t>
  </si>
  <si>
    <t>Бисероплетение для малышей</t>
  </si>
  <si>
    <t>Танцевальная аэробика (6-9 лет)</t>
  </si>
  <si>
    <t>Белая ладья</t>
  </si>
  <si>
    <t>Футбол</t>
  </si>
  <si>
    <t>Бокс</t>
  </si>
  <si>
    <t>Самбо (для спортивно-оздоровительных групп) 4-6 год обучения</t>
  </si>
  <si>
    <t>Страна рукоделия</t>
  </si>
  <si>
    <t>Родословие</t>
  </si>
  <si>
    <t>Артинский</t>
  </si>
  <si>
    <t xml:space="preserve">Затраты на содержание УДО на 2025 год </t>
  </si>
  <si>
    <t>Футбол (Футбольный клуб)</t>
  </si>
  <si>
    <t>Самбо (для спортивно-оздоровительных групп) 2- 5 год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</si>
</sst>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\ _₽_-;\-* #,##0\ _₽_-;_-* &quot;-&quot;\ _₽_-;_-@_-"/>
    <numFmt numFmtId="43" formatCode="_-* #,##0.00\ _₽_-;\-* #,##0.00\ _₽_-;_-* &quot;-&quot;??\ _₽_-;_-@_-"/>
    <numFmt numFmtId="164" formatCode="#,##0.00\ &quot;₽&quot;"/>
    <numFmt numFmtId="165" formatCode="0.00_ ;[Red]\-0.00\ "/>
    <numFmt numFmtId="166" formatCode="#,##0_ ;\-#,##0\ "/>
    <numFmt numFmtId="167" formatCode="#,##0\ &quot;₽&quot;"/>
    <numFmt numFmtId="168" formatCode="#,##0\ _₽"/>
    <numFmt numFmtId="169" formatCode="0.0%"/>
    <numFmt numFmtId="170" formatCode="0.000"/>
  </numFmts>
  <fonts count="32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vertAlign val="subscript"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0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</cellStyleXfs>
  <cellXfs count="156">
    <xf numFmtId="0" fontId="0" fillId="0" borderId="0" xfId="0"/>
    <xf numFmtId="0" fontId="2" fillId="0" borderId="0" xfId="0" applyFont="1" applyAlignment="1">
      <alignment horizontal="center"/>
    </xf>
    <xf numFmtId="0" fontId="0" fillId="3" borderId="1" xfId="0" applyFill="1" applyBorder="1" applyProtection="1">
      <protection locked="0"/>
    </xf>
    <xf numFmtId="43" fontId="0" fillId="0" borderId="1" xfId="1" applyFont="1" applyBorder="1" applyAlignment="1">
      <alignment wrapText="1"/>
    </xf>
    <xf numFmtId="43" fontId="0" fillId="0" borderId="1" xfId="0" applyNumberFormat="1" applyBorder="1"/>
    <xf numFmtId="1" fontId="5" fillId="0" borderId="1" xfId="0" applyNumberFormat="1" applyFont="1" applyBorder="1" applyAlignment="1" applyProtection="1">
      <alignment horizontal="center"/>
      <protection locked="0"/>
    </xf>
    <xf numFmtId="43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43" fontId="0" fillId="0" borderId="0" xfId="1" applyFont="1" applyAlignment="1">
      <alignment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3" fontId="0" fillId="0" borderId="0" xfId="1" applyFont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43" fontId="2" fillId="0" borderId="1" xfId="1" applyFont="1" applyBorder="1" applyAlignment="1" applyProtection="1">
      <alignment horizontal="center" vertical="center" wrapText="1"/>
      <protection locked="0"/>
    </xf>
    <xf numFmtId="43" fontId="2" fillId="0" borderId="1" xfId="1" applyFont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3" fontId="6" fillId="0" borderId="1" xfId="1" applyFont="1" applyBorder="1" applyAlignment="1">
      <alignment horizontal="center" vertical="center" wrapText="1"/>
    </xf>
    <xf numFmtId="43" fontId="7" fillId="0" borderId="1" xfId="0" applyNumberFormat="1" applyFont="1" applyBorder="1"/>
    <xf numFmtId="0" fontId="6" fillId="0" borderId="1" xfId="0" applyFont="1" applyBorder="1" applyAlignment="1" applyProtection="1">
      <alignment horizontal="center"/>
      <protection locked="0"/>
    </xf>
    <xf numFmtId="0" fontId="7" fillId="0" borderId="0" xfId="0" applyFont="1"/>
    <xf numFmtId="43" fontId="8" fillId="0" borderId="1" xfId="1" applyFont="1" applyBorder="1" applyAlignment="1">
      <alignment horizontal="center" vertical="center" wrapText="1"/>
    </xf>
    <xf numFmtId="43" fontId="5" fillId="0" borderId="1" xfId="1" applyFont="1" applyBorder="1" applyAlignment="1">
      <alignment wrapText="1"/>
    </xf>
    <xf numFmtId="166" fontId="5" fillId="0" borderId="1" xfId="1" applyNumberFormat="1" applyFont="1" applyBorder="1" applyAlignment="1">
      <alignment wrapText="1"/>
    </xf>
    <xf numFmtId="166" fontId="0" fillId="0" borderId="1" xfId="1" applyNumberFormat="1" applyFont="1" applyFill="1" applyBorder="1" applyAlignment="1">
      <alignment wrapText="1"/>
    </xf>
    <xf numFmtId="3" fontId="0" fillId="0" borderId="0" xfId="0" applyNumberFormat="1" applyAlignment="1" applyProtection="1">
      <alignment horizontal="center" wrapText="1"/>
      <protection locked="0"/>
    </xf>
    <xf numFmtId="3" fontId="5" fillId="2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wrapText="1"/>
    </xf>
    <xf numFmtId="164" fontId="5" fillId="4" borderId="1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168" fontId="5" fillId="5" borderId="1" xfId="0" applyNumberFormat="1" applyFont="1" applyFill="1" applyBorder="1" applyAlignment="1">
      <alignment wrapText="1"/>
    </xf>
    <xf numFmtId="169" fontId="11" fillId="5" borderId="1" xfId="2" applyNumberFormat="1" applyFont="1" applyFill="1" applyBorder="1" applyAlignment="1" applyProtection="1">
      <alignment wrapText="1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167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0" fontId="5" fillId="4" borderId="1" xfId="0" applyFont="1" applyFill="1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164" fontId="0" fillId="0" borderId="0" xfId="0" applyNumberFormat="1" applyAlignment="1" applyProtection="1">
      <alignment wrapText="1"/>
      <protection locked="0"/>
    </xf>
    <xf numFmtId="170" fontId="10" fillId="4" borderId="1" xfId="0" applyNumberFormat="1" applyFont="1" applyFill="1" applyBorder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wrapText="1"/>
      <protection locked="0"/>
    </xf>
    <xf numFmtId="0" fontId="11" fillId="5" borderId="1" xfId="0" applyFont="1" applyFill="1" applyBorder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0" fillId="4" borderId="0" xfId="0" applyFill="1" applyAlignment="1" applyProtection="1">
      <alignment wrapText="1"/>
      <protection locked="0"/>
    </xf>
    <xf numFmtId="0" fontId="10" fillId="7" borderId="0" xfId="0" applyFont="1" applyFill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17" fillId="0" borderId="0" xfId="3" applyFont="1"/>
    <xf numFmtId="0" fontId="17" fillId="0" borderId="0" xfId="3" applyFont="1" applyAlignment="1">
      <alignment horizontal="right"/>
    </xf>
    <xf numFmtId="49" fontId="18" fillId="0" borderId="1" xfId="3" applyNumberFormat="1" applyFont="1" applyBorder="1" applyAlignment="1">
      <alignment horizontal="center" vertical="center" wrapText="1" shrinkToFit="1"/>
    </xf>
    <xf numFmtId="3" fontId="17" fillId="0" borderId="1" xfId="4" applyNumberFormat="1" applyFont="1" applyBorder="1" applyAlignment="1">
      <alignment horizontal="center" vertical="center" wrapText="1"/>
    </xf>
    <xf numFmtId="0" fontId="17" fillId="0" borderId="0" xfId="3" applyFont="1" applyAlignment="1">
      <alignment horizontal="center"/>
    </xf>
    <xf numFmtId="0" fontId="17" fillId="0" borderId="1" xfId="4" applyFont="1" applyBorder="1" applyAlignment="1">
      <alignment horizontal="center"/>
    </xf>
    <xf numFmtId="4" fontId="17" fillId="0" borderId="1" xfId="3" applyNumberFormat="1" applyFont="1" applyBorder="1" applyAlignment="1">
      <alignment horizontal="center" vertical="center"/>
    </xf>
    <xf numFmtId="0" fontId="17" fillId="8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7" fillId="9" borderId="0" xfId="3" applyFont="1" applyFill="1" applyAlignment="1">
      <alignment vertical="center"/>
    </xf>
    <xf numFmtId="0" fontId="15" fillId="0" borderId="0" xfId="5"/>
    <xf numFmtId="49" fontId="19" fillId="0" borderId="1" xfId="3" applyNumberFormat="1" applyFont="1" applyBorder="1" applyAlignment="1">
      <alignment horizontal="center" vertical="center" wrapText="1" shrinkToFit="1"/>
    </xf>
    <xf numFmtId="4" fontId="18" fillId="0" borderId="1" xfId="3" applyNumberFormat="1" applyFont="1" applyBorder="1" applyAlignment="1">
      <alignment horizontal="center" vertical="center" wrapText="1" shrinkToFit="1"/>
    </xf>
    <xf numFmtId="4" fontId="18" fillId="0" borderId="5" xfId="3" applyNumberFormat="1" applyFont="1" applyBorder="1" applyAlignment="1">
      <alignment horizontal="center" vertical="center" wrapText="1" shrinkToFit="1"/>
    </xf>
    <xf numFmtId="2" fontId="20" fillId="0" borderId="6" xfId="3" applyNumberFormat="1" applyFont="1" applyBorder="1" applyAlignment="1">
      <alignment vertical="center"/>
    </xf>
    <xf numFmtId="0" fontId="15" fillId="4" borderId="0" xfId="6" applyFill="1"/>
    <xf numFmtId="0" fontId="24" fillId="0" borderId="0" xfId="0" applyFont="1"/>
    <xf numFmtId="0" fontId="0" fillId="4" borderId="1" xfId="0" applyFill="1" applyBorder="1" applyAlignment="1" applyProtection="1">
      <alignment horizontal="left" wrapText="1"/>
      <protection locked="0"/>
    </xf>
    <xf numFmtId="164" fontId="0" fillId="10" borderId="1" xfId="0" applyNumberFormat="1" applyFill="1" applyBorder="1" applyAlignment="1">
      <alignment wrapText="1"/>
    </xf>
    <xf numFmtId="0" fontId="26" fillId="0" borderId="0" xfId="0" applyFont="1" applyAlignment="1">
      <alignment horizontal="center"/>
    </xf>
    <xf numFmtId="41" fontId="0" fillId="0" borderId="1" xfId="1" applyNumberFormat="1" applyFont="1" applyBorder="1" applyAlignment="1">
      <alignment wrapText="1"/>
    </xf>
    <xf numFmtId="0" fontId="27" fillId="0" borderId="0" xfId="0" applyFont="1"/>
    <xf numFmtId="41" fontId="5" fillId="0" borderId="1" xfId="1" applyNumberFormat="1" applyFont="1" applyBorder="1" applyAlignment="1">
      <alignment wrapText="1"/>
    </xf>
    <xf numFmtId="1" fontId="28" fillId="0" borderId="0" xfId="0" applyNumberFormat="1" applyFont="1" applyAlignment="1" applyProtection="1">
      <alignment horizontal="center" vertical="center"/>
      <protection locked="0"/>
    </xf>
    <xf numFmtId="9" fontId="0" fillId="0" borderId="0" xfId="2" applyFont="1" applyAlignment="1">
      <alignment horizontal="center" wrapText="1"/>
    </xf>
    <xf numFmtId="0" fontId="0" fillId="11" borderId="1" xfId="0" applyFill="1" applyBorder="1" applyAlignment="1" applyProtection="1">
      <alignment wrapText="1"/>
      <protection locked="0"/>
    </xf>
    <xf numFmtId="0" fontId="17" fillId="4" borderId="0" xfId="3" applyFont="1" applyFill="1" applyAlignment="1">
      <alignment vertical="center"/>
    </xf>
    <xf numFmtId="164" fontId="0" fillId="4" borderId="1" xfId="0" applyNumberFormat="1" applyFill="1" applyBorder="1" applyAlignment="1">
      <alignment wrapText="1"/>
    </xf>
    <xf numFmtId="0" fontId="5" fillId="10" borderId="1" xfId="0" applyFont="1" applyFill="1" applyBorder="1" applyAlignment="1" applyProtection="1">
      <alignment horizontal="left" wrapText="1"/>
      <protection locked="0"/>
    </xf>
    <xf numFmtId="168" fontId="11" fillId="2" borderId="1" xfId="0" applyNumberFormat="1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17" fillId="2" borderId="1" xfId="3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3" fontId="17" fillId="2" borderId="1" xfId="3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23" fillId="0" borderId="1" xfId="0" applyFont="1" applyBorder="1" applyAlignment="1">
      <alignment horizontal="center" wrapText="1"/>
    </xf>
    <xf numFmtId="0" fontId="2" fillId="12" borderId="1" xfId="0" applyFont="1" applyFill="1" applyBorder="1" applyAlignment="1">
      <alignment horizontal="center" wrapText="1"/>
    </xf>
    <xf numFmtId="0" fontId="24" fillId="0" borderId="1" xfId="0" applyFont="1" applyBorder="1"/>
    <xf numFmtId="0" fontId="0" fillId="12" borderId="1" xfId="0" applyFill="1" applyBorder="1"/>
    <xf numFmtId="43" fontId="0" fillId="4" borderId="1" xfId="1" applyFont="1" applyFill="1" applyBorder="1" applyAlignment="1" applyProtection="1">
      <alignment horizontal="center"/>
      <protection locked="0"/>
    </xf>
    <xf numFmtId="0" fontId="25" fillId="0" borderId="1" xfId="0" applyFont="1" applyBorder="1"/>
    <xf numFmtId="2" fontId="10" fillId="7" borderId="0" xfId="0" applyNumberFormat="1" applyFont="1" applyFill="1" applyAlignment="1" applyProtection="1">
      <alignment wrapText="1"/>
      <protection locked="0"/>
    </xf>
    <xf numFmtId="3" fontId="0" fillId="3" borderId="1" xfId="0" applyNumberFormat="1" applyFill="1" applyBorder="1" applyAlignment="1" applyProtection="1">
      <alignment wrapText="1"/>
      <protection locked="0"/>
    </xf>
    <xf numFmtId="3" fontId="29" fillId="2" borderId="0" xfId="0" applyNumberFormat="1" applyFont="1" applyFill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wrapText="1"/>
      <protection locked="0"/>
    </xf>
    <xf numFmtId="0" fontId="30" fillId="0" borderId="0" xfId="0" applyFont="1" applyAlignment="1" applyProtection="1">
      <alignment wrapText="1"/>
      <protection locked="0"/>
    </xf>
    <xf numFmtId="0" fontId="29" fillId="0" borderId="0" xfId="0" applyFont="1" applyAlignment="1" applyProtection="1">
      <alignment horizontal="center" wrapText="1"/>
      <protection locked="0"/>
    </xf>
    <xf numFmtId="0" fontId="5" fillId="11" borderId="1" xfId="0" applyFont="1" applyFill="1" applyBorder="1" applyAlignment="1" applyProtection="1">
      <alignment wrapText="1"/>
      <protection locked="0"/>
    </xf>
    <xf numFmtId="3" fontId="0" fillId="11" borderId="1" xfId="0" applyNumberForma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alignment horizontal="center" wrapText="1"/>
      <protection locked="0"/>
    </xf>
    <xf numFmtId="0" fontId="5" fillId="0" borderId="1" xfId="0" applyFont="1" applyBorder="1"/>
    <xf numFmtId="0" fontId="5" fillId="0" borderId="0" xfId="0" applyFont="1"/>
    <xf numFmtId="2" fontId="0" fillId="4" borderId="1" xfId="0" applyNumberFormat="1" applyFill="1" applyBorder="1" applyAlignment="1">
      <alignment horizontal="center" wrapText="1"/>
    </xf>
    <xf numFmtId="164" fontId="5" fillId="0" borderId="1" xfId="0" applyNumberFormat="1" applyFont="1" applyBorder="1" applyAlignment="1">
      <alignment wrapText="1"/>
    </xf>
    <xf numFmtId="168" fontId="11" fillId="5" borderId="1" xfId="0" applyNumberFormat="1" applyFont="1" applyFill="1" applyBorder="1" applyAlignment="1">
      <alignment wrapText="1"/>
    </xf>
    <xf numFmtId="3" fontId="5" fillId="2" borderId="1" xfId="0" applyNumberFormat="1" applyFont="1" applyFill="1" applyBorder="1" applyAlignment="1" applyProtection="1">
      <alignment wrapText="1"/>
      <protection locked="0"/>
    </xf>
    <xf numFmtId="3" fontId="3" fillId="2" borderId="1" xfId="0" applyNumberFormat="1" applyFont="1" applyFill="1" applyBorder="1" applyAlignment="1" applyProtection="1">
      <alignment horizontal="center" wrapText="1"/>
      <protection locked="0"/>
    </xf>
    <xf numFmtId="3" fontId="0" fillId="5" borderId="1" xfId="0" applyNumberForma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4" fontId="0" fillId="4" borderId="1" xfId="0" applyNumberForma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31" fillId="2" borderId="1" xfId="0" applyFont="1" applyFill="1" applyBorder="1" applyAlignment="1" applyProtection="1">
      <alignment wrapText="1"/>
      <protection locked="0"/>
    </xf>
    <xf numFmtId="0" fontId="31" fillId="2" borderId="1" xfId="0" applyFont="1" applyFill="1" applyBorder="1" applyProtection="1">
      <protection locked="0"/>
    </xf>
    <xf numFmtId="43" fontId="0" fillId="10" borderId="1" xfId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1" fontId="0" fillId="0" borderId="1" xfId="1" applyNumberFormat="1" applyFont="1" applyFill="1" applyBorder="1" applyAlignment="1">
      <alignment wrapText="1"/>
    </xf>
    <xf numFmtId="168" fontId="0" fillId="0" borderId="0" xfId="0" applyNumberFormat="1" applyAlignment="1" applyProtection="1">
      <alignment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11" fillId="5" borderId="3" xfId="0" applyFont="1" applyFill="1" applyBorder="1" applyAlignment="1">
      <alignment horizontal="center" wrapText="1"/>
    </xf>
    <xf numFmtId="0" fontId="11" fillId="5" borderId="4" xfId="0" applyFont="1" applyFill="1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14" fillId="6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4" xfId="0" applyFont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left" wrapText="1"/>
    </xf>
    <xf numFmtId="0" fontId="12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>
      <alignment wrapText="1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165" fontId="29" fillId="0" borderId="0" xfId="0" applyNumberFormat="1" applyFont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29" fillId="0" borderId="0" xfId="0" applyFont="1" applyAlignment="1" applyProtection="1">
      <alignment horizontal="center" vertical="top" wrapText="1"/>
      <protection locked="0"/>
    </xf>
    <xf numFmtId="0" fontId="29" fillId="2" borderId="0" xfId="0" applyFont="1" applyFill="1" applyAlignment="1" applyProtection="1">
      <alignment horizontal="center" vertical="center" wrapText="1"/>
      <protection locked="0"/>
    </xf>
    <xf numFmtId="49" fontId="16" fillId="0" borderId="0" xfId="3" applyNumberFormat="1" applyFont="1" applyAlignment="1">
      <alignment horizontal="left" vertical="center" wrapText="1"/>
    </xf>
    <xf numFmtId="49" fontId="18" fillId="0" borderId="1" xfId="3" applyNumberFormat="1" applyFont="1" applyBorder="1" applyAlignment="1">
      <alignment horizontal="center" vertical="center" wrapText="1" shrinkToFit="1"/>
    </xf>
    <xf numFmtId="49" fontId="19" fillId="0" borderId="1" xfId="3" applyNumberFormat="1" applyFont="1" applyBorder="1" applyAlignment="1">
      <alignment horizontal="center" vertical="center" wrapText="1" shrinkToFit="1"/>
    </xf>
    <xf numFmtId="49" fontId="16" fillId="0" borderId="4" xfId="3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1" fillId="0" borderId="4" xfId="3" applyFont="1" applyBorder="1"/>
    <xf numFmtId="0" fontId="22" fillId="0" borderId="4" xfId="0" applyFont="1" applyBorder="1"/>
    <xf numFmtId="0" fontId="5" fillId="0" borderId="2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</cellXfs>
  <cellStyles count="7">
    <cellStyle name="Обычный" xfId="0" builtinId="0"/>
    <cellStyle name="Обычный_226 сады" xfId="3"/>
    <cellStyle name="Обычный_226 школы" xfId="4"/>
    <cellStyle name="Обычный_Дет.дом 226" xfId="6"/>
    <cellStyle name="Обычный_УДО 226" xfId="5"/>
    <cellStyle name="Процентный" xfId="2" builtinId="5"/>
    <cellStyle name="Финансовый" xfId="1" builtin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lexkostin\Library\Containers\com.microsoft.Excel\Data\Documents\F:\&#1053;&#1072;&#1074;&#1080;&#1075;&#1072;&#1090;&#1086;&#1088;&#1099;\&#1056;&#1045;&#1043;&#1048;&#1054;&#1053;&#1067;\&#1052;&#1086;&#1089;&#1082;&#1074;&#1072;\19.%20&#1057;&#1093;&#1086;&#1076;&#1080;&#1084;&#1086;&#1089;&#1090;&#1100;%20&#1084;&#1086;&#1076;&#1077;&#1083;&#1080;%20&#1055;&#1060;%20&#1044;&#1054;&#1044;%20&#1052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Параметры ПФ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"/>
  <sheetViews>
    <sheetView workbookViewId="0">
      <selection activeCell="C6" sqref="C6"/>
    </sheetView>
  </sheetViews>
  <sheetFormatPr defaultRowHeight="15.75" x14ac:dyDescent="0.25"/>
  <cols>
    <col min="1" max="1" width="37.25" customWidth="1"/>
    <col min="2" max="2" width="25.75" customWidth="1"/>
    <col min="3" max="3" width="24.5" customWidth="1"/>
  </cols>
  <sheetData>
    <row r="1" spans="1:3" s="109" customFormat="1" ht="32.25" customHeight="1" x14ac:dyDescent="0.25">
      <c r="A1" s="108" t="s">
        <v>53</v>
      </c>
      <c r="B1" s="108" t="s">
        <v>4</v>
      </c>
      <c r="C1" s="108" t="s">
        <v>88</v>
      </c>
    </row>
    <row r="2" spans="1:3" x14ac:dyDescent="0.25">
      <c r="A2" s="119" t="s">
        <v>98</v>
      </c>
      <c r="B2" s="92" t="s">
        <v>1</v>
      </c>
      <c r="C2" s="92">
        <v>249.5</v>
      </c>
    </row>
    <row r="3" spans="1:3" x14ac:dyDescent="0.25">
      <c r="A3" s="119" t="s">
        <v>98</v>
      </c>
      <c r="B3" s="92" t="s">
        <v>47</v>
      </c>
      <c r="C3" s="92">
        <v>240.4</v>
      </c>
    </row>
    <row r="4" spans="1:3" x14ac:dyDescent="0.25">
      <c r="A4" s="119" t="s">
        <v>98</v>
      </c>
      <c r="B4" s="92" t="s">
        <v>18</v>
      </c>
      <c r="C4" s="92">
        <v>234.7</v>
      </c>
    </row>
    <row r="5" spans="1:3" x14ac:dyDescent="0.25">
      <c r="A5" s="119" t="s">
        <v>98</v>
      </c>
      <c r="B5" s="92" t="s">
        <v>14</v>
      </c>
      <c r="C5" s="92">
        <v>252.9</v>
      </c>
    </row>
    <row r="6" spans="1:3" x14ac:dyDescent="0.25">
      <c r="A6" s="119" t="s">
        <v>98</v>
      </c>
      <c r="B6" s="92" t="s">
        <v>2</v>
      </c>
      <c r="C6" s="92">
        <v>242.2</v>
      </c>
    </row>
    <row r="7" spans="1:3" ht="31.5" x14ac:dyDescent="0.25">
      <c r="A7" s="119" t="s">
        <v>127</v>
      </c>
      <c r="B7" s="92" t="s">
        <v>2</v>
      </c>
      <c r="C7" s="92">
        <v>133.99</v>
      </c>
    </row>
  </sheetData>
  <autoFilter ref="A1:C2"/>
  <phoneticPr fontId="4" type="noConversion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topLeftCell="A13" zoomScale="59" zoomScaleNormal="59" workbookViewId="0">
      <selection activeCell="M16" sqref="M16:P16"/>
    </sheetView>
  </sheetViews>
  <sheetFormatPr defaultColWidth="10.875" defaultRowHeight="15.75" x14ac:dyDescent="0.25"/>
  <cols>
    <col min="1" max="1" width="26.375" style="35" customWidth="1"/>
    <col min="2" max="2" width="9.25" style="35" customWidth="1"/>
    <col min="3" max="3" width="12.25" style="35" customWidth="1"/>
    <col min="4" max="4" width="2.25" style="35" customWidth="1"/>
    <col min="5" max="5" width="25.125" style="35" customWidth="1"/>
    <col min="6" max="8" width="15.375" style="35" customWidth="1"/>
    <col min="9" max="9" width="18.875" style="35" customWidth="1"/>
    <col min="10" max="11" width="15.375" style="35" customWidth="1"/>
    <col min="12" max="12" width="2.125" style="35" customWidth="1"/>
    <col min="13" max="13" width="33.375" style="35" customWidth="1"/>
    <col min="14" max="16" width="13.5" style="35" customWidth="1"/>
    <col min="17" max="17" width="10.875" style="35"/>
    <col min="18" max="18" width="29.375" style="35" customWidth="1"/>
    <col min="19" max="16384" width="10.875" style="35"/>
  </cols>
  <sheetData>
    <row r="1" spans="1:21" s="103" customFormat="1" ht="29.25" customHeight="1" x14ac:dyDescent="0.3">
      <c r="A1" s="145" t="s">
        <v>0</v>
      </c>
      <c r="B1" s="145"/>
      <c r="C1" s="146" t="s">
        <v>154</v>
      </c>
      <c r="D1" s="146"/>
      <c r="E1" s="146"/>
      <c r="F1" s="143" t="s">
        <v>38</v>
      </c>
      <c r="G1" s="143"/>
      <c r="H1" s="143"/>
      <c r="I1" s="101">
        <v>4222</v>
      </c>
      <c r="J1" s="102"/>
      <c r="K1" s="102"/>
      <c r="N1" s="104">
        <v>2025</v>
      </c>
      <c r="O1" s="104">
        <v>2026</v>
      </c>
      <c r="P1" s="104">
        <v>2027</v>
      </c>
    </row>
    <row r="2" spans="1:2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M2" s="37" t="s">
        <v>26</v>
      </c>
      <c r="N2" s="100">
        <v>11</v>
      </c>
      <c r="O2" s="100">
        <v>11</v>
      </c>
      <c r="P2" s="100">
        <v>11</v>
      </c>
    </row>
    <row r="3" spans="1:21" ht="47.25" x14ac:dyDescent="0.25">
      <c r="A3" s="142" t="s">
        <v>24</v>
      </c>
      <c r="B3" s="38">
        <v>2025</v>
      </c>
      <c r="C3" s="117">
        <v>60746</v>
      </c>
      <c r="D3" s="26"/>
      <c r="E3" s="39" t="s">
        <v>4</v>
      </c>
      <c r="F3" s="28" t="s">
        <v>18</v>
      </c>
      <c r="G3" s="28" t="s">
        <v>17</v>
      </c>
      <c r="H3" s="28" t="s">
        <v>1</v>
      </c>
      <c r="I3" s="28" t="s">
        <v>14</v>
      </c>
      <c r="J3" s="28" t="s">
        <v>2</v>
      </c>
      <c r="K3" s="28" t="s">
        <v>47</v>
      </c>
      <c r="M3" s="40" t="s">
        <v>31</v>
      </c>
      <c r="N3" s="41" t="str">
        <f>IF($I$1/100*N2&gt;N9+N15+N21,"Охват недостаточен","Соблюдено")</f>
        <v>Соблюдено</v>
      </c>
      <c r="O3" s="41" t="str">
        <f>IF($I$1/100*O2&gt;O9+O15+O21,"Охват недостаточен","Соблюдено")</f>
        <v>Соблюдено</v>
      </c>
      <c r="P3" s="41" t="str">
        <f>IF($I$1/100*P2&gt;P9+P15+P21,"Охват недостаточен","Соблюдено")</f>
        <v>Соблюдено</v>
      </c>
      <c r="R3" s="80" t="s">
        <v>73</v>
      </c>
      <c r="S3" s="105">
        <v>2025</v>
      </c>
      <c r="T3" s="105">
        <v>2026</v>
      </c>
      <c r="U3" s="105">
        <v>2027</v>
      </c>
    </row>
    <row r="4" spans="1:21" ht="48.75" x14ac:dyDescent="0.35">
      <c r="A4" s="142"/>
      <c r="B4" s="38">
        <v>2026</v>
      </c>
      <c r="C4" s="117">
        <v>63479.57</v>
      </c>
      <c r="D4" s="26"/>
      <c r="E4" s="37" t="s">
        <v>23</v>
      </c>
      <c r="F4" s="29">
        <v>39</v>
      </c>
      <c r="G4" s="29">
        <v>39</v>
      </c>
      <c r="H4" s="29">
        <v>38</v>
      </c>
      <c r="I4" s="29">
        <v>39</v>
      </c>
      <c r="J4" s="29">
        <v>45</v>
      </c>
      <c r="K4" s="29">
        <v>45</v>
      </c>
      <c r="M4" s="128" t="s">
        <v>32</v>
      </c>
      <c r="N4" s="128"/>
      <c r="O4" s="128"/>
      <c r="P4" s="128"/>
      <c r="R4" s="80" t="s">
        <v>90</v>
      </c>
      <c r="S4" s="106">
        <f>'Общеразвив.программы на МЗ'!J75</f>
        <v>126112</v>
      </c>
      <c r="T4" s="106">
        <f>'Общеразвив.программы на МЗ'!J75</f>
        <v>126112</v>
      </c>
      <c r="U4" s="106">
        <f>'Общеразвив.программы на МЗ'!J75</f>
        <v>126112</v>
      </c>
    </row>
    <row r="5" spans="1:21" ht="34.5" x14ac:dyDescent="0.35">
      <c r="A5" s="142"/>
      <c r="B5" s="38">
        <v>2027</v>
      </c>
      <c r="C5" s="117">
        <v>66018.75</v>
      </c>
      <c r="D5" s="42"/>
      <c r="E5" s="37" t="s">
        <v>22</v>
      </c>
      <c r="F5" s="29">
        <v>150</v>
      </c>
      <c r="G5" s="29">
        <v>144</v>
      </c>
      <c r="H5" s="29">
        <v>150</v>
      </c>
      <c r="I5" s="29">
        <v>144</v>
      </c>
      <c r="J5" s="29">
        <v>130</v>
      </c>
      <c r="K5" s="29">
        <v>130</v>
      </c>
      <c r="M5" s="40" t="s">
        <v>27</v>
      </c>
      <c r="N5" s="30">
        <f>MAX(F10:K10)</f>
        <v>253.17</v>
      </c>
      <c r="O5" s="30">
        <f>MAX(F17:K17)</f>
        <v>264.18</v>
      </c>
      <c r="P5" s="30">
        <f>MAX(F18:K18)</f>
        <v>274.45</v>
      </c>
      <c r="R5" s="80" t="s">
        <v>91</v>
      </c>
      <c r="S5" s="106">
        <f>N26+'Стандартные программы'!M58+'Дистанционные программы'!M3+'Очно-заочные программы'!M3+'Адаптированные программы'!M6</f>
        <v>81355</v>
      </c>
      <c r="T5" s="106">
        <f>O26+'Стандартные программы'!M58+'Дистанционные программы'!M3+'Очно-заочные программы'!M3+'Адаптированные программы'!M6</f>
        <v>81338</v>
      </c>
      <c r="U5" s="106">
        <f>P26+'Стандартные программы'!M58+'Дистанционные программы'!M3+'Очно-заочные программы'!M3+'Адаптированные программы'!M6</f>
        <v>81338</v>
      </c>
    </row>
    <row r="6" spans="1:21" ht="78.75" x14ac:dyDescent="0.25">
      <c r="A6" s="37" t="s">
        <v>74</v>
      </c>
      <c r="B6" s="43"/>
      <c r="C6" s="86">
        <v>0.4</v>
      </c>
      <c r="D6" s="42"/>
      <c r="E6" s="44" t="s">
        <v>20</v>
      </c>
      <c r="F6" s="116">
        <v>7</v>
      </c>
      <c r="G6" s="116">
        <v>7</v>
      </c>
      <c r="H6" s="116">
        <v>7</v>
      </c>
      <c r="I6" s="116">
        <v>7</v>
      </c>
      <c r="J6" s="116">
        <v>7</v>
      </c>
      <c r="K6" s="116">
        <v>7</v>
      </c>
      <c r="M6" s="45" t="s">
        <v>75</v>
      </c>
      <c r="N6" s="27">
        <v>129</v>
      </c>
      <c r="O6" s="27">
        <v>129</v>
      </c>
      <c r="P6" s="27">
        <v>129</v>
      </c>
    </row>
    <row r="7" spans="1:21" ht="47.25" x14ac:dyDescent="0.25">
      <c r="A7" s="37" t="s">
        <v>94</v>
      </c>
      <c r="B7" s="43"/>
      <c r="C7" s="107">
        <v>1500</v>
      </c>
      <c r="D7" s="42"/>
      <c r="E7" s="44" t="s">
        <v>19</v>
      </c>
      <c r="F7" s="116">
        <v>11</v>
      </c>
      <c r="G7" s="116">
        <v>10</v>
      </c>
      <c r="H7" s="116">
        <v>10</v>
      </c>
      <c r="I7" s="116">
        <v>10</v>
      </c>
      <c r="J7" s="116">
        <v>11</v>
      </c>
      <c r="K7" s="116">
        <v>11</v>
      </c>
      <c r="M7" s="46" t="s">
        <v>85</v>
      </c>
      <c r="N7" s="111">
        <f>ROUNDUP(N6*N5,-1)</f>
        <v>32660</v>
      </c>
      <c r="O7" s="111">
        <f>ROUNDUP(O6*O5,-1)</f>
        <v>34080</v>
      </c>
      <c r="P7" s="111">
        <f>ROUNDUP(P6*P5,-1)</f>
        <v>35410</v>
      </c>
    </row>
    <row r="8" spans="1:21" ht="47.25" x14ac:dyDescent="0.25">
      <c r="A8" s="37" t="s">
        <v>76</v>
      </c>
      <c r="B8" s="43"/>
      <c r="C8" s="107">
        <v>6000</v>
      </c>
      <c r="D8" s="42"/>
      <c r="E8" s="44" t="s">
        <v>95</v>
      </c>
      <c r="F8" s="29">
        <v>3000</v>
      </c>
      <c r="G8" s="29">
        <v>3000</v>
      </c>
      <c r="H8" s="29">
        <v>2500</v>
      </c>
      <c r="I8" s="29">
        <v>2000</v>
      </c>
      <c r="J8" s="29">
        <v>1500</v>
      </c>
      <c r="K8" s="29">
        <v>2500</v>
      </c>
      <c r="M8" s="46" t="s">
        <v>86</v>
      </c>
      <c r="N8" s="113"/>
      <c r="O8" s="113"/>
      <c r="P8" s="113"/>
    </row>
    <row r="9" spans="1:21" ht="64.900000000000006" customHeight="1" x14ac:dyDescent="0.25">
      <c r="A9" s="37" t="s">
        <v>62</v>
      </c>
      <c r="B9" s="43"/>
      <c r="C9" s="110">
        <f>'Затраты на коммунальные услуги'!G18</f>
        <v>6.25</v>
      </c>
      <c r="D9" s="42"/>
      <c r="E9" s="44" t="s">
        <v>83</v>
      </c>
      <c r="F9" s="29"/>
      <c r="G9" s="29"/>
      <c r="H9" s="29"/>
      <c r="I9" s="29"/>
      <c r="J9" s="29"/>
      <c r="K9" s="29"/>
      <c r="M9" s="37" t="s">
        <v>87</v>
      </c>
      <c r="N9" s="114">
        <v>490</v>
      </c>
      <c r="O9" s="114">
        <v>480</v>
      </c>
      <c r="P9" s="114">
        <v>480</v>
      </c>
    </row>
    <row r="10" spans="1:21" ht="64.900000000000006" customHeight="1" x14ac:dyDescent="0.25">
      <c r="A10" s="37" t="s">
        <v>63</v>
      </c>
      <c r="B10" s="43"/>
      <c r="C10" s="110">
        <f>'Затраты на содержание имущества'!I19</f>
        <v>8.61</v>
      </c>
      <c r="D10" s="42"/>
      <c r="E10" s="45" t="s">
        <v>43</v>
      </c>
      <c r="F10" s="31">
        <f t="shared" ref="F10:K10" si="0">SUM(F11:F16)</f>
        <v>243.64</v>
      </c>
      <c r="G10" s="31">
        <f t="shared" si="0"/>
        <v>253.17</v>
      </c>
      <c r="H10" s="31">
        <f t="shared" si="0"/>
        <v>249.57</v>
      </c>
      <c r="I10" s="31">
        <f t="shared" si="0"/>
        <v>253</v>
      </c>
      <c r="J10" s="31">
        <f t="shared" si="0"/>
        <v>243.39</v>
      </c>
      <c r="K10" s="31">
        <f t="shared" si="0"/>
        <v>243.56</v>
      </c>
      <c r="M10" s="128" t="s">
        <v>46</v>
      </c>
      <c r="N10" s="128"/>
      <c r="O10" s="128"/>
      <c r="P10" s="128"/>
    </row>
    <row r="11" spans="1:21" ht="55.9" customHeight="1" x14ac:dyDescent="0.25">
      <c r="A11" s="37" t="s">
        <v>59</v>
      </c>
      <c r="B11" s="37"/>
      <c r="C11" s="110">
        <f>'Затраты на коммунальные услуги'!O18</f>
        <v>0</v>
      </c>
      <c r="D11" s="42"/>
      <c r="E11" s="37" t="s">
        <v>16</v>
      </c>
      <c r="F11" s="30">
        <f t="shared" ref="F11:K11" si="1">$C$3*12*1.302/F4/F5</f>
        <v>162.24</v>
      </c>
      <c r="G11" s="30">
        <f t="shared" si="1"/>
        <v>169</v>
      </c>
      <c r="H11" s="30">
        <f t="shared" si="1"/>
        <v>166.51</v>
      </c>
      <c r="I11" s="30">
        <f t="shared" si="1"/>
        <v>169</v>
      </c>
      <c r="J11" s="30">
        <f t="shared" si="1"/>
        <v>162.24</v>
      </c>
      <c r="K11" s="30">
        <f t="shared" si="1"/>
        <v>162.24</v>
      </c>
      <c r="M11" s="40" t="s">
        <v>27</v>
      </c>
      <c r="N11" s="30">
        <f>MAX(F10:K10)*G23</f>
        <v>253.17</v>
      </c>
      <c r="O11" s="30">
        <f>MAX(F17:K17)*G23</f>
        <v>264.18</v>
      </c>
      <c r="P11" s="30">
        <f>MAX(F18:K18)*G23</f>
        <v>274.45</v>
      </c>
    </row>
    <row r="12" spans="1:21" ht="57" customHeight="1" x14ac:dyDescent="0.25">
      <c r="A12" s="37" t="s">
        <v>60</v>
      </c>
      <c r="B12" s="37"/>
      <c r="C12" s="110">
        <f>'Затраты на содержание имущества'!S19</f>
        <v>0</v>
      </c>
      <c r="E12" s="72" t="s">
        <v>15</v>
      </c>
      <c r="F12" s="82">
        <f t="shared" ref="F12:K12" si="2">$C$3*12*1.302*$C$6/F4/F5</f>
        <v>64.900000000000006</v>
      </c>
      <c r="G12" s="82">
        <f t="shared" si="2"/>
        <v>67.599999999999994</v>
      </c>
      <c r="H12" s="82">
        <f t="shared" si="2"/>
        <v>66.599999999999994</v>
      </c>
      <c r="I12" s="82">
        <f t="shared" si="2"/>
        <v>67.599999999999994</v>
      </c>
      <c r="J12" s="82">
        <f t="shared" si="2"/>
        <v>64.900000000000006</v>
      </c>
      <c r="K12" s="82">
        <f t="shared" si="2"/>
        <v>64.900000000000006</v>
      </c>
      <c r="M12" s="45" t="s">
        <v>75</v>
      </c>
      <c r="N12" s="27">
        <v>137</v>
      </c>
      <c r="O12" s="27">
        <v>137</v>
      </c>
      <c r="P12" s="27">
        <v>137</v>
      </c>
    </row>
    <row r="13" spans="1:21" ht="91.9" customHeight="1" x14ac:dyDescent="0.25">
      <c r="A13" s="35" t="s">
        <v>64</v>
      </c>
      <c r="B13" s="37"/>
      <c r="C13" s="107">
        <v>3693.33</v>
      </c>
      <c r="E13" s="72" t="s">
        <v>82</v>
      </c>
      <c r="F13" s="82">
        <f>($C$7/3+$C$8+F9)/F4/F5</f>
        <v>1.1100000000000001</v>
      </c>
      <c r="G13" s="82">
        <f t="shared" ref="G13:K13" si="3">($C$7/3+$C$8+G9)/G4/G5</f>
        <v>1.1599999999999999</v>
      </c>
      <c r="H13" s="82">
        <f t="shared" si="3"/>
        <v>1.1399999999999999</v>
      </c>
      <c r="I13" s="82">
        <f t="shared" si="3"/>
        <v>1.1599999999999999</v>
      </c>
      <c r="J13" s="82">
        <f t="shared" si="3"/>
        <v>1.1100000000000001</v>
      </c>
      <c r="K13" s="82">
        <f t="shared" si="3"/>
        <v>1.1100000000000001</v>
      </c>
      <c r="M13" s="46" t="s">
        <v>85</v>
      </c>
      <c r="N13" s="111">
        <f>ROUNDUP(N12*N11,-1)</f>
        <v>34690</v>
      </c>
      <c r="O13" s="111">
        <f t="shared" ref="O13:P13" si="4">ROUNDUP(O12*O11,-1)</f>
        <v>36200</v>
      </c>
      <c r="P13" s="111">
        <f t="shared" si="4"/>
        <v>37600</v>
      </c>
    </row>
    <row r="14" spans="1:21" ht="91.9" customHeight="1" x14ac:dyDescent="0.25">
      <c r="A14" s="35" t="s">
        <v>65</v>
      </c>
      <c r="B14" s="37"/>
      <c r="C14" s="107"/>
      <c r="E14" s="72" t="s">
        <v>58</v>
      </c>
      <c r="F14" s="82">
        <f t="shared" ref="F14:K14" si="5">F8/F4/F5</f>
        <v>0.51</v>
      </c>
      <c r="G14" s="82">
        <f t="shared" si="5"/>
        <v>0.53</v>
      </c>
      <c r="H14" s="82">
        <f t="shared" si="5"/>
        <v>0.44</v>
      </c>
      <c r="I14" s="82">
        <f t="shared" si="5"/>
        <v>0.36</v>
      </c>
      <c r="J14" s="82">
        <f t="shared" si="5"/>
        <v>0.26</v>
      </c>
      <c r="K14" s="82">
        <f t="shared" si="5"/>
        <v>0.43</v>
      </c>
      <c r="M14" s="46" t="s">
        <v>86</v>
      </c>
      <c r="N14" s="27">
        <v>0</v>
      </c>
      <c r="O14" s="27">
        <v>0</v>
      </c>
      <c r="P14" s="27">
        <v>0</v>
      </c>
    </row>
    <row r="15" spans="1:21" ht="99.6" customHeight="1" x14ac:dyDescent="0.25">
      <c r="A15" s="144" t="s">
        <v>25</v>
      </c>
      <c r="B15" s="38">
        <v>2026</v>
      </c>
      <c r="C15" s="48">
        <v>1.0449999999999999</v>
      </c>
      <c r="E15" s="72" t="s">
        <v>70</v>
      </c>
      <c r="F15" s="82">
        <f>($C$13+$C$14)/'Затраты на коммунальные услуги'!$F$18</f>
        <v>0.02</v>
      </c>
      <c r="G15" s="82">
        <f>($C$13+$C$14)/'Затраты на коммунальные услуги'!$F$18</f>
        <v>0.02</v>
      </c>
      <c r="H15" s="82">
        <f>($C$13+$C$14)/'Затраты на коммунальные услуги'!$F$18</f>
        <v>0.02</v>
      </c>
      <c r="I15" s="82">
        <f>($C$13+$C$14)/'Затраты на коммунальные услуги'!$F$18</f>
        <v>0.02</v>
      </c>
      <c r="J15" s="82">
        <f>($C$13+$C$14)/'Затраты на коммунальные услуги'!$F$18</f>
        <v>0.02</v>
      </c>
      <c r="K15" s="82">
        <f>($C$13+$C$14)/'Затраты на коммунальные услуги'!$F$18</f>
        <v>0.02</v>
      </c>
      <c r="M15" s="37" t="s">
        <v>87</v>
      </c>
      <c r="N15" s="123">
        <v>15</v>
      </c>
      <c r="O15" s="123">
        <v>20</v>
      </c>
      <c r="P15" s="123">
        <v>20</v>
      </c>
    </row>
    <row r="16" spans="1:21" ht="63" x14ac:dyDescent="0.25">
      <c r="A16" s="144"/>
      <c r="B16" s="38">
        <v>2027</v>
      </c>
      <c r="C16" s="48">
        <v>1.0449999999999999</v>
      </c>
      <c r="E16" s="72" t="s">
        <v>66</v>
      </c>
      <c r="F16" s="82">
        <f>$C$9+$C$10+$C$11+$C$12</f>
        <v>14.86</v>
      </c>
      <c r="G16" s="82">
        <f t="shared" ref="G16:K16" si="6">$C$9+$C$10+$C$11+$C$12</f>
        <v>14.86</v>
      </c>
      <c r="H16" s="82">
        <f t="shared" si="6"/>
        <v>14.86</v>
      </c>
      <c r="I16" s="82">
        <f t="shared" si="6"/>
        <v>14.86</v>
      </c>
      <c r="J16" s="82">
        <f t="shared" si="6"/>
        <v>14.86</v>
      </c>
      <c r="K16" s="82">
        <f t="shared" si="6"/>
        <v>14.86</v>
      </c>
      <c r="M16" s="132" t="s">
        <v>48</v>
      </c>
      <c r="N16" s="128"/>
      <c r="O16" s="128"/>
      <c r="P16" s="128"/>
    </row>
    <row r="17" spans="5:17" ht="31.5" x14ac:dyDescent="0.25">
      <c r="E17" s="83" t="s">
        <v>44</v>
      </c>
      <c r="F17" s="73">
        <f>($C$4*12*1.3/F4/F5)*(1+$C$6)+(F13+F14+F15+F16)*$C15</f>
        <v>254.23</v>
      </c>
      <c r="G17" s="73">
        <f t="shared" ref="G17:K17" si="7">($C$4*12*1.3/G4/G5)*(1+$C$6)+(G13+G14+G15+G16)*$C15</f>
        <v>264.18</v>
      </c>
      <c r="H17" s="73">
        <f t="shared" si="7"/>
        <v>260.43</v>
      </c>
      <c r="I17" s="73">
        <f t="shared" si="7"/>
        <v>264</v>
      </c>
      <c r="J17" s="73">
        <f t="shared" si="7"/>
        <v>253.97</v>
      </c>
      <c r="K17" s="73">
        <f t="shared" si="7"/>
        <v>254.15</v>
      </c>
      <c r="M17" s="40" t="s">
        <v>27</v>
      </c>
      <c r="N17" s="30">
        <f>MAX(F10:K10)</f>
        <v>253.17</v>
      </c>
      <c r="O17" s="30">
        <f>MAX(G12:L12)</f>
        <v>67.599999999999994</v>
      </c>
      <c r="P17" s="30">
        <f>MAX(H12:M12)</f>
        <v>67.599999999999994</v>
      </c>
    </row>
    <row r="18" spans="5:17" ht="31.5" x14ac:dyDescent="0.25">
      <c r="E18" s="83" t="s">
        <v>45</v>
      </c>
      <c r="F18" s="73">
        <f>($C$5*12*1.302/F4/F5)*(1+$C$6)+(F14+F15+F16+F13)*$C16</f>
        <v>264.08999999999997</v>
      </c>
      <c r="G18" s="73">
        <f t="shared" ref="G18:K18" si="8">($C$5*12*1.302/G4/G5)*(1+$C$6)+(G14+G15+G16+G13)*$C16</f>
        <v>274.45</v>
      </c>
      <c r="H18" s="73">
        <f t="shared" si="8"/>
        <v>270.55</v>
      </c>
      <c r="I18" s="73">
        <f t="shared" si="8"/>
        <v>274.27</v>
      </c>
      <c r="J18" s="73">
        <f t="shared" si="8"/>
        <v>263.83</v>
      </c>
      <c r="K18" s="73">
        <f t="shared" si="8"/>
        <v>264.01</v>
      </c>
      <c r="M18" s="45" t="s">
        <v>75</v>
      </c>
      <c r="N18" s="27">
        <v>0</v>
      </c>
      <c r="O18" s="27">
        <v>0</v>
      </c>
      <c r="P18" s="27">
        <v>0</v>
      </c>
    </row>
    <row r="19" spans="5:17" ht="31.5" x14ac:dyDescent="0.25">
      <c r="H19" s="47"/>
      <c r="I19" s="47"/>
      <c r="J19" s="47"/>
      <c r="K19" s="47"/>
      <c r="M19" s="46" t="s">
        <v>85</v>
      </c>
      <c r="N19" s="111">
        <f>ROUNDUP(N18*N17*G27,-1)</f>
        <v>0</v>
      </c>
      <c r="O19" s="111">
        <f>ROUNDUP(O18*O17*G27,-1)</f>
        <v>0</v>
      </c>
      <c r="P19" s="111">
        <f>ROUNDUP(P18*P17*G27,-1)</f>
        <v>0</v>
      </c>
    </row>
    <row r="20" spans="5:17" ht="31.5" x14ac:dyDescent="0.25">
      <c r="H20" s="47"/>
      <c r="I20" s="47"/>
      <c r="J20" s="47"/>
      <c r="K20" s="47"/>
      <c r="M20" s="46" t="s">
        <v>86</v>
      </c>
      <c r="N20" s="113"/>
      <c r="O20" s="113"/>
      <c r="P20" s="113"/>
    </row>
    <row r="21" spans="5:17" ht="47.25" x14ac:dyDescent="0.25">
      <c r="E21" s="53" t="s">
        <v>30</v>
      </c>
      <c r="F21" s="99">
        <f t="shared" ref="F21:K21" si="9">F4/(F6+F7)*2*(F5/36)</f>
        <v>18.059999999999999</v>
      </c>
      <c r="G21" s="99">
        <f t="shared" si="9"/>
        <v>18.350000000000001</v>
      </c>
      <c r="H21" s="99">
        <f t="shared" si="9"/>
        <v>18.63</v>
      </c>
      <c r="I21" s="99">
        <f t="shared" si="9"/>
        <v>18.350000000000001</v>
      </c>
      <c r="J21" s="99">
        <f t="shared" si="9"/>
        <v>18.059999999999999</v>
      </c>
      <c r="K21" s="99">
        <f t="shared" si="9"/>
        <v>18.059999999999999</v>
      </c>
      <c r="M21" s="37" t="s">
        <v>87</v>
      </c>
      <c r="N21" s="123">
        <v>0</v>
      </c>
      <c r="O21" s="123">
        <v>0</v>
      </c>
      <c r="P21" s="123">
        <v>0</v>
      </c>
    </row>
    <row r="22" spans="5:17" ht="33" x14ac:dyDescent="0.35">
      <c r="E22" s="134" t="s">
        <v>33</v>
      </c>
      <c r="F22" s="135"/>
      <c r="G22" s="135"/>
      <c r="H22" s="51"/>
      <c r="I22" s="136" t="s">
        <v>49</v>
      </c>
      <c r="J22" s="137"/>
      <c r="K22" s="137"/>
      <c r="M22" s="32" t="s">
        <v>29</v>
      </c>
      <c r="N22" s="33">
        <f>N7*N9+N13*N15+N19*N21</f>
        <v>16523750</v>
      </c>
      <c r="O22" s="33">
        <f>O7*O9+O13*O15+O19*O21</f>
        <v>17082400</v>
      </c>
      <c r="P22" s="33">
        <f>P7*P9+P13*P15+P19*P21</f>
        <v>17748800</v>
      </c>
    </row>
    <row r="23" spans="5:17" ht="31.5" customHeight="1" x14ac:dyDescent="0.25">
      <c r="E23" s="127" t="s">
        <v>34</v>
      </c>
      <c r="F23" s="127"/>
      <c r="G23" s="131">
        <v>1</v>
      </c>
      <c r="I23" s="138" t="s">
        <v>50</v>
      </c>
      <c r="J23" s="140">
        <v>1</v>
      </c>
      <c r="M23" s="50" t="s">
        <v>28</v>
      </c>
      <c r="N23" s="84"/>
      <c r="O23" s="85"/>
      <c r="P23" s="85"/>
    </row>
    <row r="24" spans="5:17" ht="31.5" customHeight="1" x14ac:dyDescent="0.25">
      <c r="E24" s="127"/>
      <c r="F24" s="127"/>
      <c r="G24" s="131"/>
      <c r="I24" s="139"/>
      <c r="J24" s="141"/>
      <c r="K24" s="49"/>
      <c r="M24" s="129" t="s">
        <v>96</v>
      </c>
      <c r="N24" s="112">
        <f>N22-('Стандартные программы'!L58+'Дистанционные программы'!L3+'Очно-заочные программы'!L3+'Адаптированные программы'!L6)</f>
        <v>472638</v>
      </c>
      <c r="O24" s="112">
        <f>N24/N22*O22</f>
        <v>488617</v>
      </c>
      <c r="P24" s="112">
        <f>N24/N22*P22</f>
        <v>507679</v>
      </c>
    </row>
    <row r="25" spans="5:17" x14ac:dyDescent="0.25">
      <c r="E25" s="127" t="s">
        <v>35</v>
      </c>
      <c r="F25" s="127"/>
      <c r="G25" s="86">
        <v>1</v>
      </c>
      <c r="J25" s="52"/>
      <c r="K25" s="49"/>
      <c r="M25" s="130"/>
      <c r="N25" s="34">
        <f>N24/N22</f>
        <v>2.9000000000000001E-2</v>
      </c>
      <c r="O25" s="34">
        <f t="shared" ref="O25:P25" si="10">O24/O22</f>
        <v>2.9000000000000001E-2</v>
      </c>
      <c r="P25" s="34">
        <f t="shared" si="10"/>
        <v>2.9000000000000001E-2</v>
      </c>
    </row>
    <row r="26" spans="5:17" ht="31.5" x14ac:dyDescent="0.25">
      <c r="E26" s="127" t="s">
        <v>36</v>
      </c>
      <c r="F26" s="127"/>
      <c r="G26" s="86">
        <v>1</v>
      </c>
      <c r="M26" s="54" t="s">
        <v>51</v>
      </c>
      <c r="N26" s="115">
        <f>N24/MAX(F10:K10)</f>
        <v>1867</v>
      </c>
      <c r="O26" s="115">
        <f>O24/MAX(F17:K17)</f>
        <v>1850</v>
      </c>
      <c r="P26" s="115">
        <f>P24/MAX(F18:K18)</f>
        <v>1850</v>
      </c>
    </row>
    <row r="27" spans="5:17" ht="31.5" customHeight="1" x14ac:dyDescent="0.25">
      <c r="E27" s="133" t="s">
        <v>84</v>
      </c>
      <c r="F27" s="133"/>
      <c r="G27" s="87"/>
      <c r="M27" s="126" t="s">
        <v>37</v>
      </c>
      <c r="N27" s="126"/>
      <c r="O27" s="126"/>
      <c r="P27" s="126"/>
    </row>
    <row r="28" spans="5:17" ht="33" customHeight="1" x14ac:dyDescent="0.25"/>
    <row r="29" spans="5:17" ht="33" customHeight="1" x14ac:dyDescent="0.25">
      <c r="N29" s="35">
        <f>'Стандартные программы'!L58+'Адаптированные программы'!L6+'Общеразвив.программы на МЗ'!I75</f>
        <v>42248512.640000001</v>
      </c>
      <c r="O29" s="125">
        <f>N29+N24</f>
        <v>42721151</v>
      </c>
      <c r="Q29" s="125">
        <f>O29-42698842</f>
        <v>22309</v>
      </c>
    </row>
    <row r="30" spans="5:17" ht="33" customHeight="1" x14ac:dyDescent="0.25"/>
    <row r="31" spans="5:17" ht="46.9" customHeight="1" x14ac:dyDescent="0.25"/>
  </sheetData>
  <sheetProtection algorithmName="SHA-512" hashValue="JH8hLEyKIftsV4TgcSPPGp4GIarZmfZLEoaxG1kJAtla/rfI59JRBAVNrIk1k8cu8lARbOuCYe6zWJbAwZi8lg==" saltValue="i0GccqNxnExryaEA5Ztegg==" spinCount="100000" sheet="1" objects="1" scenarios="1" formatCells="0" formatColumns="0" formatRows="0"/>
  <mergeCells count="19">
    <mergeCell ref="A3:A5"/>
    <mergeCell ref="F1:H1"/>
    <mergeCell ref="A15:A16"/>
    <mergeCell ref="A1:B1"/>
    <mergeCell ref="C1:E1"/>
    <mergeCell ref="M27:P27"/>
    <mergeCell ref="E26:F26"/>
    <mergeCell ref="M4:P4"/>
    <mergeCell ref="M10:P10"/>
    <mergeCell ref="M24:M25"/>
    <mergeCell ref="G23:G24"/>
    <mergeCell ref="M16:P16"/>
    <mergeCell ref="E27:F27"/>
    <mergeCell ref="E22:G22"/>
    <mergeCell ref="I22:K22"/>
    <mergeCell ref="I23:I24"/>
    <mergeCell ref="J23:J24"/>
    <mergeCell ref="E23:F24"/>
    <mergeCell ref="E25:F25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1A963CDD-BA55-4139-BAFD-CE454C4437A1}">
            <x14:iconSet iconSet="3Arrows" custom="1">
              <x14:cfvo type="percent">
                <xm:f>0</xm:f>
              </x14:cfvo>
              <x14:cfvo type="num">
                <xm:f>-0.1</xm:f>
              </x14:cfvo>
              <x14:cfvo type="num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A3</xm:sqref>
        </x14:conditionalFormatting>
        <x14:conditionalFormatting xmlns:xm="http://schemas.microsoft.com/office/excel/2006/main">
          <x14:cfRule type="iconSet" priority="7" id="{079F67A4-1CF8-46C9-B5F8-0DD3BA8FBA18}">
            <x14:iconSet iconSet="3Arrows" custom="1">
              <x14:cfvo type="percent">
                <xm:f>0</xm:f>
              </x14:cfvo>
              <x14:cfvo type="num">
                <xm:f>-0.1</xm:f>
              </x14:cfvo>
              <x14:cfvo type="num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F1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zoomScaleSheetLayoutView="80" workbookViewId="0">
      <selection activeCell="G3" sqref="G3:G4"/>
    </sheetView>
  </sheetViews>
  <sheetFormatPr defaultColWidth="10.25" defaultRowHeight="12.75" x14ac:dyDescent="0.2"/>
  <cols>
    <col min="1" max="1" width="3.25" style="59" customWidth="1"/>
    <col min="2" max="2" width="24.5" style="55" customWidth="1"/>
    <col min="3" max="3" width="19.75" style="55" customWidth="1"/>
    <col min="4" max="4" width="11.75" style="59" customWidth="1"/>
    <col min="5" max="5" width="9.625" style="55" bestFit="1" customWidth="1"/>
    <col min="6" max="6" width="13.5" style="55" customWidth="1"/>
    <col min="7" max="7" width="17.75" style="55" customWidth="1"/>
    <col min="8" max="8" width="10.25" style="55"/>
    <col min="9" max="9" width="3.25" style="55" customWidth="1"/>
    <col min="10" max="10" width="26.25" style="55" customWidth="1"/>
    <col min="11" max="11" width="22.125" style="55" customWidth="1"/>
    <col min="12" max="12" width="12.375" style="55" customWidth="1"/>
    <col min="13" max="13" width="10.25" style="55"/>
    <col min="14" max="14" width="16.125" style="55" customWidth="1"/>
    <col min="15" max="15" width="17.625" style="55" customWidth="1"/>
    <col min="16" max="16384" width="10.25" style="55"/>
  </cols>
  <sheetData>
    <row r="1" spans="1:15" ht="33.75" customHeight="1" x14ac:dyDescent="0.2">
      <c r="A1" s="147" t="s">
        <v>155</v>
      </c>
      <c r="B1" s="147"/>
      <c r="C1" s="147"/>
      <c r="D1" s="147"/>
      <c r="G1" s="56" t="s">
        <v>52</v>
      </c>
    </row>
    <row r="2" spans="1:15" s="59" customFormat="1" ht="76.5" customHeight="1" x14ac:dyDescent="0.2">
      <c r="A2" s="148" t="s">
        <v>53</v>
      </c>
      <c r="B2" s="148"/>
      <c r="C2" s="57" t="s">
        <v>54</v>
      </c>
      <c r="D2" s="58" t="s">
        <v>81</v>
      </c>
      <c r="E2" s="58" t="s">
        <v>55</v>
      </c>
      <c r="F2" s="58" t="s">
        <v>56</v>
      </c>
      <c r="G2" s="58" t="s">
        <v>92</v>
      </c>
      <c r="I2" s="148" t="s">
        <v>53</v>
      </c>
      <c r="J2" s="148"/>
      <c r="K2" s="57" t="s">
        <v>54</v>
      </c>
      <c r="L2" s="58" t="s">
        <v>81</v>
      </c>
      <c r="M2" s="58" t="s">
        <v>55</v>
      </c>
      <c r="N2" s="58" t="s">
        <v>56</v>
      </c>
      <c r="O2" s="58" t="s">
        <v>93</v>
      </c>
    </row>
    <row r="3" spans="1:15" s="62" customFormat="1" ht="23.25" customHeight="1" x14ac:dyDescent="0.25">
      <c r="A3" s="60">
        <v>1</v>
      </c>
      <c r="B3" s="120" t="s">
        <v>98</v>
      </c>
      <c r="C3" s="121">
        <v>6636000790</v>
      </c>
      <c r="D3" s="88">
        <v>881300</v>
      </c>
      <c r="E3" s="61">
        <f t="shared" ref="E3" si="0">SUM(D3:D3)</f>
        <v>881300</v>
      </c>
      <c r="F3" s="90">
        <v>134944</v>
      </c>
      <c r="G3" s="61">
        <f>E3/F3</f>
        <v>6.53</v>
      </c>
      <c r="I3" s="60">
        <v>1</v>
      </c>
      <c r="J3" s="89"/>
      <c r="K3" s="89"/>
      <c r="L3" s="88"/>
      <c r="M3" s="61">
        <f t="shared" ref="M3:M17" si="1">SUM(L3:L3)</f>
        <v>0</v>
      </c>
      <c r="N3" s="90">
        <v>55555</v>
      </c>
      <c r="O3" s="61">
        <f>M3/N3</f>
        <v>0</v>
      </c>
    </row>
    <row r="4" spans="1:15" s="62" customFormat="1" ht="33.75" customHeight="1" x14ac:dyDescent="0.25">
      <c r="A4" s="60">
        <v>2</v>
      </c>
      <c r="B4" s="120" t="s">
        <v>127</v>
      </c>
      <c r="C4" s="121">
        <v>6636005527</v>
      </c>
      <c r="D4" s="88">
        <v>403000</v>
      </c>
      <c r="E4" s="61">
        <f t="shared" ref="E4:E17" si="2">SUM(D4:D4)</f>
        <v>403000</v>
      </c>
      <c r="F4" s="90">
        <v>70656</v>
      </c>
      <c r="G4" s="61">
        <f t="shared" ref="G4:G18" si="3">E4/F4</f>
        <v>5.7</v>
      </c>
      <c r="I4" s="60">
        <v>2</v>
      </c>
      <c r="J4" s="89"/>
      <c r="K4" s="89"/>
      <c r="L4" s="88"/>
      <c r="M4" s="61">
        <f t="shared" si="1"/>
        <v>0</v>
      </c>
      <c r="N4" s="90">
        <v>55555</v>
      </c>
      <c r="O4" s="61">
        <f t="shared" ref="O4:O17" si="4">M4/N4</f>
        <v>0</v>
      </c>
    </row>
    <row r="5" spans="1:15" s="63" customFormat="1" ht="23.25" customHeight="1" x14ac:dyDescent="0.25">
      <c r="A5" s="60">
        <v>3</v>
      </c>
      <c r="B5" s="89"/>
      <c r="C5" s="89"/>
      <c r="D5" s="88"/>
      <c r="E5" s="61">
        <f t="shared" si="2"/>
        <v>0</v>
      </c>
      <c r="F5" s="90"/>
      <c r="G5" s="61" t="e">
        <f t="shared" si="3"/>
        <v>#DIV/0!</v>
      </c>
      <c r="I5" s="60">
        <v>3</v>
      </c>
      <c r="J5" s="89"/>
      <c r="K5" s="89"/>
      <c r="L5" s="88"/>
      <c r="M5" s="61">
        <f t="shared" si="1"/>
        <v>0</v>
      </c>
      <c r="N5" s="90">
        <v>55555</v>
      </c>
      <c r="O5" s="61">
        <f t="shared" si="4"/>
        <v>0</v>
      </c>
    </row>
    <row r="6" spans="1:15" s="64" customFormat="1" ht="23.25" customHeight="1" x14ac:dyDescent="0.25">
      <c r="A6" s="60">
        <v>3</v>
      </c>
      <c r="B6" s="89"/>
      <c r="C6" s="89"/>
      <c r="D6" s="88"/>
      <c r="E6" s="61">
        <f t="shared" si="2"/>
        <v>0</v>
      </c>
      <c r="F6" s="90"/>
      <c r="G6" s="61" t="e">
        <f t="shared" si="3"/>
        <v>#DIV/0!</v>
      </c>
      <c r="H6" s="81"/>
      <c r="I6" s="60">
        <v>3</v>
      </c>
      <c r="J6" s="89"/>
      <c r="K6" s="89"/>
      <c r="L6" s="88"/>
      <c r="M6" s="61">
        <f t="shared" si="1"/>
        <v>0</v>
      </c>
      <c r="N6" s="90">
        <v>55555</v>
      </c>
      <c r="O6" s="61">
        <f t="shared" si="4"/>
        <v>0</v>
      </c>
    </row>
    <row r="7" spans="1:15" ht="23.25" customHeight="1" x14ac:dyDescent="0.25">
      <c r="A7" s="60">
        <v>3</v>
      </c>
      <c r="B7" s="89"/>
      <c r="C7" s="89"/>
      <c r="D7" s="88"/>
      <c r="E7" s="61">
        <f t="shared" si="2"/>
        <v>0</v>
      </c>
      <c r="F7" s="90"/>
      <c r="G7" s="61" t="e">
        <f t="shared" si="3"/>
        <v>#DIV/0!</v>
      </c>
      <c r="I7" s="60">
        <v>3</v>
      </c>
      <c r="J7" s="89"/>
      <c r="K7" s="89"/>
      <c r="L7" s="88"/>
      <c r="M7" s="61">
        <f t="shared" si="1"/>
        <v>0</v>
      </c>
      <c r="N7" s="90">
        <v>55555</v>
      </c>
      <c r="O7" s="61">
        <f t="shared" si="4"/>
        <v>0</v>
      </c>
    </row>
    <row r="8" spans="1:15" ht="23.25" customHeight="1" x14ac:dyDescent="0.25">
      <c r="A8" s="60">
        <v>3</v>
      </c>
      <c r="B8" s="89"/>
      <c r="C8" s="89"/>
      <c r="D8" s="88"/>
      <c r="E8" s="61">
        <f t="shared" si="2"/>
        <v>0</v>
      </c>
      <c r="F8" s="90"/>
      <c r="G8" s="61" t="e">
        <f t="shared" si="3"/>
        <v>#DIV/0!</v>
      </c>
      <c r="I8" s="60">
        <v>3</v>
      </c>
      <c r="J8" s="89"/>
      <c r="K8" s="89"/>
      <c r="L8" s="88"/>
      <c r="M8" s="61">
        <f t="shared" si="1"/>
        <v>0</v>
      </c>
      <c r="N8" s="90">
        <v>55555</v>
      </c>
      <c r="O8" s="61">
        <f t="shared" si="4"/>
        <v>0</v>
      </c>
    </row>
    <row r="9" spans="1:15" ht="23.25" customHeight="1" x14ac:dyDescent="0.25">
      <c r="A9" s="60">
        <v>3</v>
      </c>
      <c r="B9" s="89"/>
      <c r="C9" s="89"/>
      <c r="D9" s="88"/>
      <c r="E9" s="61">
        <f t="shared" si="2"/>
        <v>0</v>
      </c>
      <c r="F9" s="90"/>
      <c r="G9" s="61" t="e">
        <f t="shared" si="3"/>
        <v>#DIV/0!</v>
      </c>
      <c r="I9" s="60">
        <v>3</v>
      </c>
      <c r="J9" s="89"/>
      <c r="K9" s="89"/>
      <c r="L9" s="88"/>
      <c r="M9" s="61">
        <f t="shared" si="1"/>
        <v>0</v>
      </c>
      <c r="N9" s="90">
        <v>55555</v>
      </c>
      <c r="O9" s="61">
        <f t="shared" si="4"/>
        <v>0</v>
      </c>
    </row>
    <row r="10" spans="1:15" s="62" customFormat="1" ht="23.25" customHeight="1" x14ac:dyDescent="0.25">
      <c r="A10" s="60">
        <v>3</v>
      </c>
      <c r="B10" s="89"/>
      <c r="C10" s="89"/>
      <c r="D10" s="88"/>
      <c r="E10" s="61">
        <f t="shared" si="2"/>
        <v>0</v>
      </c>
      <c r="F10" s="90"/>
      <c r="G10" s="61" t="e">
        <f t="shared" si="3"/>
        <v>#DIV/0!</v>
      </c>
      <c r="I10" s="60">
        <v>3</v>
      </c>
      <c r="J10" s="89"/>
      <c r="K10" s="89"/>
      <c r="L10" s="88"/>
      <c r="M10" s="61">
        <f t="shared" si="1"/>
        <v>0</v>
      </c>
      <c r="N10" s="90">
        <v>55555</v>
      </c>
      <c r="O10" s="61">
        <f t="shared" si="4"/>
        <v>0</v>
      </c>
    </row>
    <row r="11" spans="1:15" s="65" customFormat="1" ht="23.25" customHeight="1" x14ac:dyDescent="0.25">
      <c r="A11" s="60">
        <v>3</v>
      </c>
      <c r="B11" s="89"/>
      <c r="C11" s="89"/>
      <c r="D11" s="88"/>
      <c r="E11" s="61">
        <f t="shared" si="2"/>
        <v>0</v>
      </c>
      <c r="F11" s="90"/>
      <c r="G11" s="61" t="e">
        <f t="shared" si="3"/>
        <v>#DIV/0!</v>
      </c>
      <c r="I11" s="60">
        <v>3</v>
      </c>
      <c r="J11" s="89"/>
      <c r="K11" s="89"/>
      <c r="L11" s="88"/>
      <c r="M11" s="61">
        <f t="shared" si="1"/>
        <v>0</v>
      </c>
      <c r="N11" s="90">
        <v>55555</v>
      </c>
      <c r="O11" s="61">
        <f t="shared" si="4"/>
        <v>0</v>
      </c>
    </row>
    <row r="12" spans="1:15" s="65" customFormat="1" ht="23.25" customHeight="1" x14ac:dyDescent="0.25">
      <c r="A12" s="60">
        <v>3</v>
      </c>
      <c r="B12" s="89"/>
      <c r="C12" s="89"/>
      <c r="D12" s="88"/>
      <c r="E12" s="61">
        <f t="shared" si="2"/>
        <v>0</v>
      </c>
      <c r="F12" s="90"/>
      <c r="G12" s="61" t="e">
        <f t="shared" si="3"/>
        <v>#DIV/0!</v>
      </c>
      <c r="I12" s="60">
        <v>3</v>
      </c>
      <c r="J12" s="89"/>
      <c r="K12" s="89"/>
      <c r="L12" s="88"/>
      <c r="M12" s="61">
        <f t="shared" si="1"/>
        <v>0</v>
      </c>
      <c r="N12" s="90">
        <v>55555</v>
      </c>
      <c r="O12" s="61">
        <f t="shared" si="4"/>
        <v>0</v>
      </c>
    </row>
    <row r="13" spans="1:15" s="65" customFormat="1" ht="23.25" customHeight="1" x14ac:dyDescent="0.25">
      <c r="A13" s="60">
        <v>3</v>
      </c>
      <c r="B13" s="89"/>
      <c r="C13" s="89"/>
      <c r="D13" s="88"/>
      <c r="E13" s="61">
        <f t="shared" si="2"/>
        <v>0</v>
      </c>
      <c r="F13" s="90"/>
      <c r="G13" s="61" t="e">
        <f t="shared" si="3"/>
        <v>#DIV/0!</v>
      </c>
      <c r="I13" s="60">
        <v>3</v>
      </c>
      <c r="J13" s="89"/>
      <c r="K13" s="89"/>
      <c r="L13" s="88"/>
      <c r="M13" s="61">
        <f t="shared" si="1"/>
        <v>0</v>
      </c>
      <c r="N13" s="90">
        <v>55555</v>
      </c>
      <c r="O13" s="61">
        <f t="shared" si="4"/>
        <v>0</v>
      </c>
    </row>
    <row r="14" spans="1:15" s="65" customFormat="1" ht="23.25" customHeight="1" x14ac:dyDescent="0.25">
      <c r="A14" s="60">
        <v>3</v>
      </c>
      <c r="B14" s="89"/>
      <c r="C14" s="89"/>
      <c r="D14" s="88"/>
      <c r="E14" s="61">
        <f t="shared" si="2"/>
        <v>0</v>
      </c>
      <c r="F14" s="90"/>
      <c r="G14" s="61" t="e">
        <f t="shared" si="3"/>
        <v>#DIV/0!</v>
      </c>
      <c r="I14" s="60">
        <v>3</v>
      </c>
      <c r="J14" s="89"/>
      <c r="K14" s="89"/>
      <c r="L14" s="88"/>
      <c r="M14" s="61">
        <f t="shared" si="1"/>
        <v>0</v>
      </c>
      <c r="N14" s="90">
        <v>55555</v>
      </c>
      <c r="O14" s="61">
        <f t="shared" si="4"/>
        <v>0</v>
      </c>
    </row>
    <row r="15" spans="1:15" ht="23.25" customHeight="1" x14ac:dyDescent="0.25">
      <c r="A15" s="60">
        <v>3</v>
      </c>
      <c r="B15" s="89"/>
      <c r="C15" s="89"/>
      <c r="D15" s="88"/>
      <c r="E15" s="61">
        <f t="shared" si="2"/>
        <v>0</v>
      </c>
      <c r="F15" s="90"/>
      <c r="G15" s="61" t="e">
        <f t="shared" si="3"/>
        <v>#DIV/0!</v>
      </c>
      <c r="I15" s="60">
        <v>3</v>
      </c>
      <c r="J15" s="89"/>
      <c r="K15" s="89"/>
      <c r="L15" s="88"/>
      <c r="M15" s="61">
        <f t="shared" si="1"/>
        <v>0</v>
      </c>
      <c r="N15" s="90">
        <v>55555</v>
      </c>
      <c r="O15" s="61">
        <f t="shared" si="4"/>
        <v>0</v>
      </c>
    </row>
    <row r="16" spans="1:15" ht="23.25" customHeight="1" x14ac:dyDescent="0.25">
      <c r="A16" s="60">
        <v>3</v>
      </c>
      <c r="B16" s="89"/>
      <c r="C16" s="89"/>
      <c r="D16" s="88"/>
      <c r="E16" s="61">
        <f t="shared" si="2"/>
        <v>0</v>
      </c>
      <c r="F16" s="90"/>
      <c r="G16" s="61" t="e">
        <f t="shared" si="3"/>
        <v>#DIV/0!</v>
      </c>
      <c r="I16" s="60">
        <v>3</v>
      </c>
      <c r="J16" s="89"/>
      <c r="K16" s="89"/>
      <c r="L16" s="88"/>
      <c r="M16" s="61">
        <f t="shared" si="1"/>
        <v>0</v>
      </c>
      <c r="N16" s="90">
        <v>55555</v>
      </c>
      <c r="O16" s="61">
        <f t="shared" si="4"/>
        <v>0</v>
      </c>
    </row>
    <row r="17" spans="1:15" ht="23.25" customHeight="1" thickBot="1" x14ac:dyDescent="0.3">
      <c r="A17" s="60">
        <v>3</v>
      </c>
      <c r="B17" s="89"/>
      <c r="C17" s="89"/>
      <c r="D17" s="88"/>
      <c r="E17" s="61">
        <f t="shared" si="2"/>
        <v>0</v>
      </c>
      <c r="F17" s="90"/>
      <c r="G17" s="61" t="e">
        <f t="shared" si="3"/>
        <v>#DIV/0!</v>
      </c>
      <c r="I17" s="60">
        <v>3</v>
      </c>
      <c r="J17" s="89"/>
      <c r="K17" s="89"/>
      <c r="L17" s="88"/>
      <c r="M17" s="61">
        <f t="shared" si="1"/>
        <v>0</v>
      </c>
      <c r="N17" s="90">
        <v>55555</v>
      </c>
      <c r="O17" s="61">
        <f t="shared" si="4"/>
        <v>0</v>
      </c>
    </row>
    <row r="18" spans="1:15" s="59" customFormat="1" ht="15" customHeight="1" thickBot="1" x14ac:dyDescent="0.25">
      <c r="A18" s="149" t="s">
        <v>57</v>
      </c>
      <c r="B18" s="149"/>
      <c r="C18" s="66"/>
      <c r="D18" s="67">
        <f t="shared" ref="D18:E18" si="5">SUM(D3:D17)</f>
        <v>1284300</v>
      </c>
      <c r="E18" s="67">
        <f t="shared" si="5"/>
        <v>1284300</v>
      </c>
      <c r="F18" s="68">
        <f>SUM(F3:F17)</f>
        <v>205600</v>
      </c>
      <c r="G18" s="61">
        <f t="shared" si="3"/>
        <v>6.25</v>
      </c>
      <c r="I18" s="149" t="s">
        <v>57</v>
      </c>
      <c r="J18" s="149"/>
      <c r="K18" s="66"/>
      <c r="L18" s="67">
        <f t="shared" ref="L18:M18" si="6">SUM(L3:L17)</f>
        <v>0</v>
      </c>
      <c r="M18" s="67">
        <f t="shared" si="6"/>
        <v>0</v>
      </c>
      <c r="N18" s="68">
        <f>SUM(N3:N17)</f>
        <v>833325</v>
      </c>
      <c r="O18" s="69">
        <f>MEDIAN(O3:O17)</f>
        <v>0</v>
      </c>
    </row>
    <row r="19" spans="1:15" x14ac:dyDescent="0.2">
      <c r="B19" s="70"/>
      <c r="C19" s="70"/>
    </row>
  </sheetData>
  <mergeCells count="5">
    <mergeCell ref="A1:D1"/>
    <mergeCell ref="A2:B2"/>
    <mergeCell ref="A18:B18"/>
    <mergeCell ref="I2:J2"/>
    <mergeCell ref="I18:J18"/>
  </mergeCells>
  <pageMargins left="0.11811023622047245" right="0.11811023622047245" top="0.74803149606299213" bottom="0.74803149606299213" header="0.31496062992125984" footer="0.31496062992125984"/>
  <pageSetup paperSize="9" scale="57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0"/>
  <sheetViews>
    <sheetView zoomScaleNormal="100" zoomScaleSheetLayoutView="80" workbookViewId="0">
      <selection activeCell="D6" sqref="D6"/>
    </sheetView>
  </sheetViews>
  <sheetFormatPr defaultColWidth="10.25" defaultRowHeight="12.75" x14ac:dyDescent="0.2"/>
  <cols>
    <col min="1" max="1" width="3.25" style="59" customWidth="1"/>
    <col min="2" max="2" width="24.5" style="55" customWidth="1"/>
    <col min="3" max="3" width="19.75" style="55" customWidth="1"/>
    <col min="4" max="4" width="17" style="59" customWidth="1"/>
    <col min="5" max="6" width="11.75" style="59" customWidth="1"/>
    <col min="7" max="7" width="13.25" style="55" customWidth="1"/>
    <col min="8" max="8" width="13.5" style="55" customWidth="1"/>
    <col min="9" max="9" width="12.75" style="55" customWidth="1"/>
    <col min="10" max="10" width="10.25" style="55"/>
    <col min="11" max="11" width="7.75" style="55" customWidth="1"/>
    <col min="12" max="12" width="24.25" style="55" customWidth="1"/>
    <col min="13" max="13" width="26.125" style="55" customWidth="1"/>
    <col min="14" max="14" width="16.75" style="55" customWidth="1"/>
    <col min="15" max="18" width="10.25" style="55"/>
    <col min="19" max="19" width="14.75" style="55" customWidth="1"/>
    <col min="20" max="16384" width="10.25" style="55"/>
  </cols>
  <sheetData>
    <row r="2" spans="1:20" ht="54" customHeight="1" x14ac:dyDescent="0.4">
      <c r="A2" s="150" t="s">
        <v>80</v>
      </c>
      <c r="B2" s="150"/>
      <c r="C2" s="150"/>
      <c r="D2" s="150"/>
      <c r="E2" s="150"/>
      <c r="F2" s="150"/>
      <c r="G2" s="151"/>
      <c r="H2" s="151"/>
      <c r="I2" s="56" t="s">
        <v>52</v>
      </c>
      <c r="L2" s="152" t="s">
        <v>61</v>
      </c>
      <c r="M2" s="153"/>
      <c r="N2" s="153"/>
      <c r="O2" s="153"/>
      <c r="P2" s="153"/>
      <c r="Q2" s="153"/>
      <c r="R2" s="153"/>
      <c r="S2" s="55" t="s">
        <v>52</v>
      </c>
    </row>
    <row r="3" spans="1:20" s="59" customFormat="1" ht="76.5" customHeight="1" x14ac:dyDescent="0.2">
      <c r="A3" s="148" t="s">
        <v>53</v>
      </c>
      <c r="B3" s="148"/>
      <c r="C3" s="57" t="s">
        <v>54</v>
      </c>
      <c r="D3" s="58" t="s">
        <v>77</v>
      </c>
      <c r="E3" s="58" t="s">
        <v>78</v>
      </c>
      <c r="F3" s="58" t="s">
        <v>79</v>
      </c>
      <c r="G3" s="58" t="s">
        <v>55</v>
      </c>
      <c r="H3" s="58" t="s">
        <v>56</v>
      </c>
      <c r="I3" s="58" t="s">
        <v>21</v>
      </c>
      <c r="K3" s="148" t="s">
        <v>53</v>
      </c>
      <c r="L3" s="148"/>
      <c r="M3" s="57" t="s">
        <v>54</v>
      </c>
      <c r="N3" s="58" t="s">
        <v>77</v>
      </c>
      <c r="O3" s="58" t="s">
        <v>78</v>
      </c>
      <c r="P3" s="58" t="s">
        <v>79</v>
      </c>
      <c r="Q3" s="58" t="s">
        <v>55</v>
      </c>
      <c r="R3" s="58" t="s">
        <v>56</v>
      </c>
      <c r="S3" s="58" t="s">
        <v>21</v>
      </c>
    </row>
    <row r="4" spans="1:20" s="62" customFormat="1" ht="23.25" customHeight="1" x14ac:dyDescent="0.25">
      <c r="A4" s="60">
        <v>1</v>
      </c>
      <c r="B4" s="120" t="s">
        <v>98</v>
      </c>
      <c r="C4" s="121">
        <v>6636000790</v>
      </c>
      <c r="D4" s="88">
        <v>1147144</v>
      </c>
      <c r="E4" s="88">
        <v>92333</v>
      </c>
      <c r="F4" s="88">
        <v>50000</v>
      </c>
      <c r="G4" s="61">
        <f t="shared" ref="G4:G18" si="0">SUM(D4:F4)</f>
        <v>1289477</v>
      </c>
      <c r="H4" s="90">
        <v>134944</v>
      </c>
      <c r="I4" s="61">
        <f>G4/H4</f>
        <v>9.56</v>
      </c>
      <c r="K4" s="60">
        <v>1</v>
      </c>
      <c r="L4" s="89"/>
      <c r="M4" s="89"/>
      <c r="N4" s="88"/>
      <c r="O4" s="88"/>
      <c r="P4" s="88"/>
      <c r="Q4" s="61">
        <f t="shared" ref="Q4:Q18" si="1">SUM(N4:P4)</f>
        <v>0</v>
      </c>
      <c r="R4" s="90">
        <v>55555</v>
      </c>
      <c r="S4" s="61">
        <f>Q4/R4</f>
        <v>0</v>
      </c>
    </row>
    <row r="5" spans="1:20" s="62" customFormat="1" ht="31.5" customHeight="1" x14ac:dyDescent="0.25">
      <c r="A5" s="60">
        <v>2</v>
      </c>
      <c r="B5" s="120" t="s">
        <v>127</v>
      </c>
      <c r="C5" s="121">
        <v>6636005527</v>
      </c>
      <c r="D5" s="88">
        <v>370000</v>
      </c>
      <c r="E5" s="88">
        <v>21000</v>
      </c>
      <c r="F5" s="88">
        <v>90000</v>
      </c>
      <c r="G5" s="61">
        <f t="shared" si="0"/>
        <v>481000</v>
      </c>
      <c r="H5" s="90">
        <v>70656</v>
      </c>
      <c r="I5" s="61">
        <f t="shared" ref="I5:I19" si="2">G5/H5</f>
        <v>6.81</v>
      </c>
      <c r="K5" s="60">
        <v>2</v>
      </c>
      <c r="L5" s="89"/>
      <c r="M5" s="89"/>
      <c r="N5" s="88"/>
      <c r="O5" s="88"/>
      <c r="P5" s="88"/>
      <c r="Q5" s="61">
        <f t="shared" si="1"/>
        <v>0</v>
      </c>
      <c r="R5" s="90">
        <v>55555</v>
      </c>
      <c r="S5" s="61">
        <f t="shared" ref="S5:S18" si="3">Q5/R5</f>
        <v>0</v>
      </c>
    </row>
    <row r="6" spans="1:20" s="63" customFormat="1" ht="23.25" customHeight="1" x14ac:dyDescent="0.25">
      <c r="A6" s="60">
        <v>3</v>
      </c>
      <c r="B6" s="89"/>
      <c r="C6" s="89"/>
      <c r="D6" s="88"/>
      <c r="E6" s="88"/>
      <c r="F6" s="88"/>
      <c r="G6" s="61">
        <f t="shared" si="0"/>
        <v>0</v>
      </c>
      <c r="H6" s="90"/>
      <c r="I6" s="61" t="e">
        <f t="shared" si="2"/>
        <v>#DIV/0!</v>
      </c>
      <c r="K6" s="60">
        <v>3</v>
      </c>
      <c r="L6" s="89"/>
      <c r="M6" s="89"/>
      <c r="N6" s="88"/>
      <c r="O6" s="88"/>
      <c r="P6" s="88"/>
      <c r="Q6" s="61">
        <f t="shared" si="1"/>
        <v>0</v>
      </c>
      <c r="R6" s="90">
        <v>55555</v>
      </c>
      <c r="S6" s="61">
        <f t="shared" si="3"/>
        <v>0</v>
      </c>
    </row>
    <row r="7" spans="1:20" s="64" customFormat="1" ht="23.25" customHeight="1" x14ac:dyDescent="0.25">
      <c r="A7" s="60">
        <v>3</v>
      </c>
      <c r="B7" s="89"/>
      <c r="C7" s="89"/>
      <c r="D7" s="88"/>
      <c r="E7" s="88"/>
      <c r="F7" s="88"/>
      <c r="G7" s="61">
        <f t="shared" si="0"/>
        <v>0</v>
      </c>
      <c r="H7" s="90"/>
      <c r="I7" s="61" t="e">
        <f t="shared" si="2"/>
        <v>#DIV/0!</v>
      </c>
      <c r="J7" s="81"/>
      <c r="K7" s="60">
        <v>3</v>
      </c>
      <c r="L7" s="89"/>
      <c r="M7" s="89"/>
      <c r="N7" s="88"/>
      <c r="O7" s="88"/>
      <c r="P7" s="88"/>
      <c r="Q7" s="61">
        <f t="shared" si="1"/>
        <v>0</v>
      </c>
      <c r="R7" s="90">
        <v>55555</v>
      </c>
      <c r="S7" s="61">
        <f t="shared" si="3"/>
        <v>0</v>
      </c>
      <c r="T7" s="81"/>
    </row>
    <row r="8" spans="1:20" ht="23.25" customHeight="1" x14ac:dyDescent="0.25">
      <c r="A8" s="60">
        <v>3</v>
      </c>
      <c r="B8" s="89"/>
      <c r="C8" s="89"/>
      <c r="D8" s="88"/>
      <c r="E8" s="88"/>
      <c r="F8" s="88"/>
      <c r="G8" s="61">
        <f t="shared" si="0"/>
        <v>0</v>
      </c>
      <c r="H8" s="90"/>
      <c r="I8" s="61" t="e">
        <f t="shared" si="2"/>
        <v>#DIV/0!</v>
      </c>
      <c r="K8" s="60">
        <v>3</v>
      </c>
      <c r="L8" s="89"/>
      <c r="M8" s="89"/>
      <c r="N8" s="88"/>
      <c r="O8" s="88"/>
      <c r="P8" s="88"/>
      <c r="Q8" s="61">
        <f t="shared" si="1"/>
        <v>0</v>
      </c>
      <c r="R8" s="90">
        <v>55555</v>
      </c>
      <c r="S8" s="61">
        <f t="shared" si="3"/>
        <v>0</v>
      </c>
    </row>
    <row r="9" spans="1:20" ht="23.25" customHeight="1" x14ac:dyDescent="0.25">
      <c r="A9" s="60">
        <v>3</v>
      </c>
      <c r="B9" s="89"/>
      <c r="C9" s="89"/>
      <c r="D9" s="88"/>
      <c r="E9" s="88"/>
      <c r="F9" s="88"/>
      <c r="G9" s="61">
        <f t="shared" si="0"/>
        <v>0</v>
      </c>
      <c r="H9" s="90"/>
      <c r="I9" s="61" t="e">
        <f t="shared" si="2"/>
        <v>#DIV/0!</v>
      </c>
      <c r="K9" s="60">
        <v>3</v>
      </c>
      <c r="L9" s="89"/>
      <c r="M9" s="89"/>
      <c r="N9" s="88"/>
      <c r="O9" s="88"/>
      <c r="P9" s="88"/>
      <c r="Q9" s="61">
        <f t="shared" si="1"/>
        <v>0</v>
      </c>
      <c r="R9" s="90">
        <v>55555</v>
      </c>
      <c r="S9" s="61">
        <f t="shared" si="3"/>
        <v>0</v>
      </c>
    </row>
    <row r="10" spans="1:20" ht="23.25" customHeight="1" x14ac:dyDescent="0.25">
      <c r="A10" s="60">
        <v>3</v>
      </c>
      <c r="B10" s="89"/>
      <c r="C10" s="89"/>
      <c r="D10" s="88"/>
      <c r="E10" s="88"/>
      <c r="F10" s="88"/>
      <c r="G10" s="61">
        <f t="shared" si="0"/>
        <v>0</v>
      </c>
      <c r="H10" s="90"/>
      <c r="I10" s="61" t="e">
        <f t="shared" si="2"/>
        <v>#DIV/0!</v>
      </c>
      <c r="K10" s="60">
        <v>3</v>
      </c>
      <c r="L10" s="89"/>
      <c r="M10" s="89"/>
      <c r="N10" s="88"/>
      <c r="O10" s="88"/>
      <c r="P10" s="88"/>
      <c r="Q10" s="61">
        <f t="shared" si="1"/>
        <v>0</v>
      </c>
      <c r="R10" s="90">
        <v>55555</v>
      </c>
      <c r="S10" s="61">
        <f t="shared" si="3"/>
        <v>0</v>
      </c>
    </row>
    <row r="11" spans="1:20" s="62" customFormat="1" ht="23.25" customHeight="1" x14ac:dyDescent="0.25">
      <c r="A11" s="60">
        <v>3</v>
      </c>
      <c r="B11" s="89"/>
      <c r="C11" s="89"/>
      <c r="D11" s="88"/>
      <c r="E11" s="88"/>
      <c r="F11" s="88"/>
      <c r="G11" s="61">
        <f t="shared" si="0"/>
        <v>0</v>
      </c>
      <c r="H11" s="90"/>
      <c r="I11" s="61" t="e">
        <f t="shared" si="2"/>
        <v>#DIV/0!</v>
      </c>
      <c r="K11" s="60">
        <v>3</v>
      </c>
      <c r="L11" s="89"/>
      <c r="M11" s="89"/>
      <c r="N11" s="88"/>
      <c r="O11" s="88"/>
      <c r="P11" s="88"/>
      <c r="Q11" s="61">
        <f t="shared" si="1"/>
        <v>0</v>
      </c>
      <c r="R11" s="90">
        <v>55555</v>
      </c>
      <c r="S11" s="61">
        <f t="shared" si="3"/>
        <v>0</v>
      </c>
    </row>
    <row r="12" spans="1:20" s="65" customFormat="1" ht="23.25" customHeight="1" x14ac:dyDescent="0.25">
      <c r="A12" s="60">
        <v>3</v>
      </c>
      <c r="B12" s="89"/>
      <c r="C12" s="89"/>
      <c r="D12" s="88"/>
      <c r="E12" s="88"/>
      <c r="F12" s="88"/>
      <c r="G12" s="61">
        <f t="shared" si="0"/>
        <v>0</v>
      </c>
      <c r="H12" s="90"/>
      <c r="I12" s="61" t="e">
        <f t="shared" si="2"/>
        <v>#DIV/0!</v>
      </c>
      <c r="K12" s="60">
        <v>3</v>
      </c>
      <c r="L12" s="89"/>
      <c r="M12" s="89"/>
      <c r="N12" s="88"/>
      <c r="O12" s="88"/>
      <c r="P12" s="88"/>
      <c r="Q12" s="61">
        <f t="shared" si="1"/>
        <v>0</v>
      </c>
      <c r="R12" s="90">
        <v>55555</v>
      </c>
      <c r="S12" s="61">
        <f t="shared" si="3"/>
        <v>0</v>
      </c>
    </row>
    <row r="13" spans="1:20" s="65" customFormat="1" ht="23.25" customHeight="1" x14ac:dyDescent="0.25">
      <c r="A13" s="60">
        <v>3</v>
      </c>
      <c r="B13" s="89"/>
      <c r="C13" s="89"/>
      <c r="D13" s="88"/>
      <c r="E13" s="88"/>
      <c r="F13" s="88"/>
      <c r="G13" s="61">
        <f t="shared" si="0"/>
        <v>0</v>
      </c>
      <c r="H13" s="90"/>
      <c r="I13" s="61" t="e">
        <f t="shared" si="2"/>
        <v>#DIV/0!</v>
      </c>
      <c r="K13" s="60">
        <v>3</v>
      </c>
      <c r="L13" s="89"/>
      <c r="M13" s="89"/>
      <c r="N13" s="88"/>
      <c r="O13" s="88"/>
      <c r="P13" s="88"/>
      <c r="Q13" s="61">
        <f t="shared" si="1"/>
        <v>0</v>
      </c>
      <c r="R13" s="90">
        <v>55555</v>
      </c>
      <c r="S13" s="61">
        <f t="shared" si="3"/>
        <v>0</v>
      </c>
    </row>
    <row r="14" spans="1:20" s="65" customFormat="1" ht="23.25" customHeight="1" x14ac:dyDescent="0.25">
      <c r="A14" s="60">
        <v>3</v>
      </c>
      <c r="B14" s="89"/>
      <c r="C14" s="89"/>
      <c r="D14" s="88"/>
      <c r="E14" s="88"/>
      <c r="F14" s="88"/>
      <c r="G14" s="61">
        <f t="shared" si="0"/>
        <v>0</v>
      </c>
      <c r="H14" s="90"/>
      <c r="I14" s="61" t="e">
        <f t="shared" si="2"/>
        <v>#DIV/0!</v>
      </c>
      <c r="K14" s="60">
        <v>3</v>
      </c>
      <c r="L14" s="89"/>
      <c r="M14" s="89"/>
      <c r="N14" s="88"/>
      <c r="O14" s="88"/>
      <c r="P14" s="88"/>
      <c r="Q14" s="61">
        <f t="shared" si="1"/>
        <v>0</v>
      </c>
      <c r="R14" s="90">
        <v>55555</v>
      </c>
      <c r="S14" s="61">
        <f t="shared" si="3"/>
        <v>0</v>
      </c>
    </row>
    <row r="15" spans="1:20" s="65" customFormat="1" ht="23.25" customHeight="1" x14ac:dyDescent="0.25">
      <c r="A15" s="60">
        <v>3</v>
      </c>
      <c r="B15" s="89"/>
      <c r="C15" s="89"/>
      <c r="D15" s="88"/>
      <c r="E15" s="88"/>
      <c r="F15" s="88"/>
      <c r="G15" s="61">
        <f t="shared" si="0"/>
        <v>0</v>
      </c>
      <c r="H15" s="90"/>
      <c r="I15" s="61" t="e">
        <f t="shared" si="2"/>
        <v>#DIV/0!</v>
      </c>
      <c r="K15" s="60">
        <v>3</v>
      </c>
      <c r="L15" s="89"/>
      <c r="M15" s="89"/>
      <c r="N15" s="88"/>
      <c r="O15" s="88"/>
      <c r="P15" s="88"/>
      <c r="Q15" s="61">
        <f t="shared" si="1"/>
        <v>0</v>
      </c>
      <c r="R15" s="90">
        <v>55555</v>
      </c>
      <c r="S15" s="61">
        <f t="shared" si="3"/>
        <v>0</v>
      </c>
    </row>
    <row r="16" spans="1:20" ht="23.25" customHeight="1" x14ac:dyDescent="0.25">
      <c r="A16" s="60">
        <v>3</v>
      </c>
      <c r="B16" s="89"/>
      <c r="C16" s="89"/>
      <c r="D16" s="88"/>
      <c r="E16" s="88"/>
      <c r="F16" s="88"/>
      <c r="G16" s="61">
        <f t="shared" si="0"/>
        <v>0</v>
      </c>
      <c r="H16" s="90"/>
      <c r="I16" s="61" t="e">
        <f t="shared" si="2"/>
        <v>#DIV/0!</v>
      </c>
      <c r="K16" s="60">
        <v>3</v>
      </c>
      <c r="L16" s="89"/>
      <c r="M16" s="89"/>
      <c r="N16" s="88"/>
      <c r="O16" s="88"/>
      <c r="P16" s="88"/>
      <c r="Q16" s="61">
        <f t="shared" si="1"/>
        <v>0</v>
      </c>
      <c r="R16" s="90">
        <v>55555</v>
      </c>
      <c r="S16" s="61">
        <f t="shared" si="3"/>
        <v>0</v>
      </c>
    </row>
    <row r="17" spans="1:19" ht="23.25" customHeight="1" x14ac:dyDescent="0.25">
      <c r="A17" s="60">
        <v>3</v>
      </c>
      <c r="B17" s="89"/>
      <c r="C17" s="89"/>
      <c r="D17" s="88"/>
      <c r="E17" s="88"/>
      <c r="F17" s="88"/>
      <c r="G17" s="61">
        <f t="shared" si="0"/>
        <v>0</v>
      </c>
      <c r="H17" s="90"/>
      <c r="I17" s="61" t="e">
        <f t="shared" si="2"/>
        <v>#DIV/0!</v>
      </c>
      <c r="K17" s="60">
        <v>3</v>
      </c>
      <c r="L17" s="89"/>
      <c r="M17" s="89"/>
      <c r="N17" s="88"/>
      <c r="O17" s="88"/>
      <c r="P17" s="88"/>
      <c r="Q17" s="61">
        <f t="shared" si="1"/>
        <v>0</v>
      </c>
      <c r="R17" s="90">
        <v>55555</v>
      </c>
      <c r="S17" s="61">
        <f t="shared" si="3"/>
        <v>0</v>
      </c>
    </row>
    <row r="18" spans="1:19" ht="23.25" customHeight="1" x14ac:dyDescent="0.25">
      <c r="A18" s="60">
        <v>3</v>
      </c>
      <c r="B18" s="89"/>
      <c r="C18" s="89"/>
      <c r="D18" s="88"/>
      <c r="E18" s="88"/>
      <c r="F18" s="88"/>
      <c r="G18" s="61">
        <f t="shared" si="0"/>
        <v>0</v>
      </c>
      <c r="H18" s="90"/>
      <c r="I18" s="61" t="e">
        <f t="shared" si="2"/>
        <v>#DIV/0!</v>
      </c>
      <c r="K18" s="60">
        <v>3</v>
      </c>
      <c r="L18" s="89"/>
      <c r="M18" s="89"/>
      <c r="N18" s="88"/>
      <c r="O18" s="88"/>
      <c r="P18" s="88"/>
      <c r="Q18" s="61">
        <f t="shared" si="1"/>
        <v>0</v>
      </c>
      <c r="R18" s="90">
        <v>55555</v>
      </c>
      <c r="S18" s="61">
        <f t="shared" si="3"/>
        <v>0</v>
      </c>
    </row>
    <row r="19" spans="1:19" s="59" customFormat="1" ht="15" customHeight="1" x14ac:dyDescent="0.2">
      <c r="A19" s="149" t="s">
        <v>57</v>
      </c>
      <c r="B19" s="149"/>
      <c r="C19" s="66"/>
      <c r="D19" s="67">
        <f t="shared" ref="D19:G19" si="4">SUM(D4:D18)</f>
        <v>1517144</v>
      </c>
      <c r="E19" s="67">
        <f t="shared" si="4"/>
        <v>113333</v>
      </c>
      <c r="F19" s="67">
        <f t="shared" si="4"/>
        <v>140000</v>
      </c>
      <c r="G19" s="67">
        <f t="shared" si="4"/>
        <v>1770477</v>
      </c>
      <c r="H19" s="68">
        <f>SUM(H4:H18)</f>
        <v>205600</v>
      </c>
      <c r="I19" s="61">
        <f t="shared" si="2"/>
        <v>8.61</v>
      </c>
      <c r="K19" s="149" t="s">
        <v>57</v>
      </c>
      <c r="L19" s="149"/>
      <c r="M19" s="66"/>
      <c r="N19" s="67">
        <f t="shared" ref="N19:Q19" si="5">SUM(N4:N18)</f>
        <v>0</v>
      </c>
      <c r="O19" s="67">
        <f t="shared" si="5"/>
        <v>0</v>
      </c>
      <c r="P19" s="67">
        <f t="shared" si="5"/>
        <v>0</v>
      </c>
      <c r="Q19" s="67">
        <f t="shared" si="5"/>
        <v>0</v>
      </c>
      <c r="R19" s="68">
        <f>SUM(R4:R18)</f>
        <v>833325</v>
      </c>
      <c r="S19" s="61">
        <f>Q19/R19</f>
        <v>0</v>
      </c>
    </row>
    <row r="20" spans="1:19" x14ac:dyDescent="0.2">
      <c r="B20" s="70"/>
      <c r="C20" s="70"/>
    </row>
  </sheetData>
  <mergeCells count="6">
    <mergeCell ref="A3:B3"/>
    <mergeCell ref="A19:B19"/>
    <mergeCell ref="K3:L3"/>
    <mergeCell ref="K19:L19"/>
    <mergeCell ref="A2:H2"/>
    <mergeCell ref="L2:R2"/>
  </mergeCells>
  <pageMargins left="0.11811023622047245" right="0.11811023622047245" top="0.74803149606299213" bottom="0.74803149606299213" header="0.31496062992125984" footer="0.31496062992125984"/>
  <pageSetup paperSize="9" scale="57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opLeftCell="B43" zoomScale="86" zoomScaleNormal="86" workbookViewId="0">
      <selection activeCell="M2" sqref="M2:M52"/>
    </sheetView>
  </sheetViews>
  <sheetFormatPr defaultColWidth="11" defaultRowHeight="15.75" x14ac:dyDescent="0.25"/>
  <cols>
    <col min="1" max="1" width="25.375" style="9" customWidth="1"/>
    <col min="2" max="2" width="34.5" style="9" customWidth="1"/>
    <col min="3" max="3" width="25.25" style="9" customWidth="1"/>
    <col min="4" max="4" width="11.5" style="9" customWidth="1"/>
    <col min="5" max="5" width="12.875" style="9" customWidth="1"/>
    <col min="6" max="6" width="12.125" style="10" customWidth="1"/>
    <col min="7" max="7" width="11.5" style="10" customWidth="1"/>
    <col min="8" max="8" width="12.5" style="11" customWidth="1"/>
    <col min="9" max="9" width="11.125" style="8" customWidth="1"/>
    <col min="10" max="10" width="12" style="8" customWidth="1"/>
    <col min="11" max="11" width="15.625" customWidth="1"/>
    <col min="12" max="12" width="15.375" style="8" customWidth="1"/>
    <col min="13" max="13" width="16.25" style="8" customWidth="1"/>
    <col min="14" max="14" width="19" style="21" customWidth="1"/>
    <col min="15" max="15" width="15.75" style="71" customWidth="1"/>
    <col min="16" max="16" width="22.75" customWidth="1"/>
  </cols>
  <sheetData>
    <row r="1" spans="1:16" s="1" customFormat="1" ht="78.75" x14ac:dyDescent="0.25">
      <c r="A1" s="12" t="s">
        <v>5</v>
      </c>
      <c r="B1" s="12" t="s">
        <v>6</v>
      </c>
      <c r="C1" s="12" t="s">
        <v>4</v>
      </c>
      <c r="D1" s="13" t="s">
        <v>3</v>
      </c>
      <c r="E1" s="13" t="s">
        <v>39</v>
      </c>
      <c r="F1" s="13" t="s">
        <v>11</v>
      </c>
      <c r="G1" s="13" t="s">
        <v>7</v>
      </c>
      <c r="H1" s="14" t="s">
        <v>68</v>
      </c>
      <c r="I1" s="15" t="s">
        <v>8</v>
      </c>
      <c r="J1" s="15" t="s">
        <v>40</v>
      </c>
      <c r="K1" s="22" t="s">
        <v>41</v>
      </c>
      <c r="L1" s="15" t="s">
        <v>12</v>
      </c>
      <c r="M1" s="15" t="s">
        <v>13</v>
      </c>
      <c r="N1" s="18" t="s">
        <v>42</v>
      </c>
      <c r="O1" s="93" t="s">
        <v>67</v>
      </c>
      <c r="P1" s="94" t="s">
        <v>69</v>
      </c>
    </row>
    <row r="2" spans="1:16" x14ac:dyDescent="0.25">
      <c r="A2" s="2" t="s">
        <v>98</v>
      </c>
      <c r="B2" s="118" t="s">
        <v>99</v>
      </c>
      <c r="C2" s="2" t="s">
        <v>47</v>
      </c>
      <c r="D2" s="16">
        <v>36</v>
      </c>
      <c r="E2" s="16">
        <v>20</v>
      </c>
      <c r="F2" s="17">
        <v>4</v>
      </c>
      <c r="G2" s="17">
        <v>11</v>
      </c>
      <c r="H2" s="122" cm="1">
        <f t="array" ref="H2">INDEX('Нормативные затраты по МЗ'!$C$2:$C$7,MATCH(A2&amp;C2,'Нормативные затраты по МЗ'!$A$2:$A$7&amp;'Нормативные затраты по МЗ'!$B$2:$B$7,0))</f>
        <v>240.4</v>
      </c>
      <c r="I2" s="3">
        <f>HLOOKUP($C2,'Параметры ПФ'!$F$3:$K$10,8,FALSE)</f>
        <v>243.56</v>
      </c>
      <c r="J2" s="3">
        <f>IF(H2=0,I2*F2*E2,IF(I2&gt;H2,H2*F2*E2,I2*F2*E2))</f>
        <v>19232</v>
      </c>
      <c r="K2" s="4">
        <f>IF(J2&lt;'Параметры ПФ'!$N$7+0.01,'Стандартные программы'!J2,ROUNDDOWN('Параметры ПФ'!$N$7/IF(H2=0,I2,IF(I2&gt;H2,H2,I2)),0)*IF(H2=0,I2,IF(I2&gt;H2,H2,I2)))</f>
        <v>19232</v>
      </c>
      <c r="L2" s="3">
        <f t="shared" ref="L2:L57" si="0">K2*G2</f>
        <v>211552</v>
      </c>
      <c r="M2" s="25">
        <f>IF(J2&lt;'Параметры ПФ'!$N$7+0.01,E2*F2*G2,ROUNDDOWN('Параметры ПФ'!$N$7/IF(H2=0,I2,IF(I2&gt;H2,H2,I2)),0)*G2)</f>
        <v>880</v>
      </c>
      <c r="N2" s="19">
        <f>IF(H2=0,I2*F2*E2,IF(I2&gt;H2,H2*F2*E2,I2*F2*E2))-K2</f>
        <v>0</v>
      </c>
      <c r="O2" s="95" t="b">
        <f>IF(I2&gt;=H2,TRUE,FALSE)</f>
        <v>1</v>
      </c>
      <c r="P2" s="96">
        <f>D2*F2</f>
        <v>144</v>
      </c>
    </row>
    <row r="3" spans="1:16" x14ac:dyDescent="0.25">
      <c r="A3" s="2" t="s">
        <v>98</v>
      </c>
      <c r="B3" s="118" t="s">
        <v>99</v>
      </c>
      <c r="C3" s="2" t="s">
        <v>47</v>
      </c>
      <c r="D3" s="16">
        <v>36</v>
      </c>
      <c r="E3" s="16">
        <v>16</v>
      </c>
      <c r="F3" s="17">
        <v>4</v>
      </c>
      <c r="G3" s="17">
        <v>11</v>
      </c>
      <c r="H3" s="122" cm="1">
        <f t="array" ref="H3">INDEX('Нормативные затраты по МЗ'!$C$2:$C$7,MATCH(A3&amp;C3,'Нормативные затраты по МЗ'!$A$2:$A$7&amp;'Нормативные затраты по МЗ'!$B$2:$B$7,0))</f>
        <v>240.4</v>
      </c>
      <c r="I3" s="3">
        <f>HLOOKUP($C3,'Параметры ПФ'!$F$3:$K$10,8,FALSE)</f>
        <v>243.56</v>
      </c>
      <c r="J3" s="3">
        <f>IF(H3=0,I3*F3*E3,IF(I3&gt;H3,H3*F3*E3,I3*F3*E3))</f>
        <v>15385.6</v>
      </c>
      <c r="K3" s="4">
        <f>IF(J3&lt;'Параметры ПФ'!$N$7+0.01,'Стандартные программы'!J3,ROUNDDOWN('Параметры ПФ'!$N$7/IF(H3=0,I3,IF(I3&gt;H3,H3,I3)),0)*IF(H3=0,I3,IF(I3&gt;H3,H3,I3)))</f>
        <v>15385.6</v>
      </c>
      <c r="L3" s="3">
        <f t="shared" si="0"/>
        <v>169241.60000000001</v>
      </c>
      <c r="M3" s="25">
        <f>IF(J3&lt;'Параметры ПФ'!$N$7+0.01,E3*F3*G3,ROUNDDOWN('Параметры ПФ'!$N$7/IF(H3=0,I3,IF(I3&gt;H3,H3,I3)),0)*G3)</f>
        <v>704</v>
      </c>
      <c r="N3" s="19">
        <f>IF(H3=0,I3*F3*E3,IF(I3&gt;H3,H3*F3*E3,I3*F3*E3))-K3</f>
        <v>0</v>
      </c>
      <c r="O3" s="95" t="b">
        <f t="shared" ref="O3:O57" si="1">IF(I3&gt;=H3,TRUE,FALSE)</f>
        <v>1</v>
      </c>
      <c r="P3" s="96">
        <f t="shared" ref="P3:P57" si="2">D3*F3</f>
        <v>144</v>
      </c>
    </row>
    <row r="4" spans="1:16" x14ac:dyDescent="0.25">
      <c r="A4" s="2" t="s">
        <v>98</v>
      </c>
      <c r="B4" s="118" t="s">
        <v>100</v>
      </c>
      <c r="C4" s="2" t="s">
        <v>14</v>
      </c>
      <c r="D4" s="16">
        <v>36</v>
      </c>
      <c r="E4" s="16">
        <v>20</v>
      </c>
      <c r="F4" s="17">
        <v>4</v>
      </c>
      <c r="G4" s="17">
        <v>12</v>
      </c>
      <c r="H4" s="122" cm="1">
        <f t="array" ref="H4">INDEX('Нормативные затраты по МЗ'!$C$2:$C$7,MATCH(A4&amp;C4,'Нормативные затраты по МЗ'!$A$2:$A$7&amp;'Нормативные затраты по МЗ'!$B$2:$B$7,0))</f>
        <v>252.9</v>
      </c>
      <c r="I4" s="3">
        <f>HLOOKUP($C4,'Параметры ПФ'!$F$3:$K$10,8,FALSE)</f>
        <v>253</v>
      </c>
      <c r="J4" s="3">
        <f>IF(H4=0,I4*F4*E4,IF(I4&gt;H4,H4*F4*E4,I4*F4*E4))</f>
        <v>20232</v>
      </c>
      <c r="K4" s="4">
        <f>IF(J4&lt;'Параметры ПФ'!$N$7+0.01,'Стандартные программы'!J4,ROUNDDOWN('Параметры ПФ'!$N$7/IF(H4=0,I4,IF(I4&gt;H4,H4,I4)),0)*IF(H4=0,I4,IF(I4&gt;H4,H4,I4)))</f>
        <v>20232</v>
      </c>
      <c r="L4" s="3">
        <f t="shared" ref="L4" si="3">K4*G4</f>
        <v>242784</v>
      </c>
      <c r="M4" s="25">
        <f>IF(J4&lt;'Параметры ПФ'!$N$7+0.01,E4*F4*G4,ROUNDDOWN('Параметры ПФ'!$N$7/IF(H4=0,I4,IF(I4&gt;H4,H4,I4)),0)*G4)</f>
        <v>960</v>
      </c>
      <c r="N4" s="19">
        <f>IF(H4=0,I4*F4*E4,IF(I4&gt;H4,H4*F4*E4,I4*F4*E4))-K4</f>
        <v>0</v>
      </c>
      <c r="O4" s="95" t="b">
        <f t="shared" si="1"/>
        <v>1</v>
      </c>
      <c r="P4" s="96">
        <f t="shared" si="2"/>
        <v>144</v>
      </c>
    </row>
    <row r="5" spans="1:16" x14ac:dyDescent="0.25">
      <c r="A5" s="2" t="s">
        <v>98</v>
      </c>
      <c r="B5" s="118" t="s">
        <v>100</v>
      </c>
      <c r="C5" s="2" t="s">
        <v>14</v>
      </c>
      <c r="D5" s="16">
        <v>36</v>
      </c>
      <c r="E5" s="16">
        <v>16</v>
      </c>
      <c r="F5" s="17">
        <v>4</v>
      </c>
      <c r="G5" s="17">
        <v>12</v>
      </c>
      <c r="H5" s="122" cm="1">
        <f t="array" ref="H5">INDEX('Нормативные затраты по МЗ'!$C$2:$C$7,MATCH(A5&amp;C5,'Нормативные затраты по МЗ'!$A$2:$A$7&amp;'Нормативные затраты по МЗ'!$B$2:$B$7,0))</f>
        <v>252.9</v>
      </c>
      <c r="I5" s="3">
        <f>HLOOKUP($C5,'Параметры ПФ'!$F$3:$K$10,8,FALSE)</f>
        <v>253</v>
      </c>
      <c r="J5" s="3">
        <f t="shared" ref="J5:J57" si="4">IF(H5=0,I5*F5*E5,IF(I5&gt;H5,H5*F5*E5,I5*F5*E5))</f>
        <v>16185.6</v>
      </c>
      <c r="K5" s="4">
        <f>IF(J5&lt;'Параметры ПФ'!$N$7+0.01,'Стандартные программы'!J5,ROUNDDOWN('Параметры ПФ'!$N$7/IF(H5=0,I5,IF(I5&gt;H5,H5,I5)),0)*IF(H5=0,I5,IF(I5&gt;H5,H5,I5)))</f>
        <v>16185.6</v>
      </c>
      <c r="L5" s="3">
        <f t="shared" si="0"/>
        <v>194227.20000000001</v>
      </c>
      <c r="M5" s="25">
        <f>IF(J5&lt;'Параметры ПФ'!$N$7+0.01,E5*F5*G5,ROUNDDOWN('Параметры ПФ'!$N$7/IF(H5=0,I5,IF(I5&gt;H5,H5,I5)),0)*G5)</f>
        <v>768</v>
      </c>
      <c r="N5" s="19">
        <f t="shared" ref="N5:N10" si="5">IF(H5=0,I5*F5*E5,IF(I5&gt;H5,H5*F5*E5,I5*F5*E5))-K5</f>
        <v>0</v>
      </c>
      <c r="O5" s="95" t="b">
        <f t="shared" si="1"/>
        <v>1</v>
      </c>
      <c r="P5" s="96">
        <f t="shared" si="2"/>
        <v>144</v>
      </c>
    </row>
    <row r="6" spans="1:16" x14ac:dyDescent="0.25">
      <c r="A6" s="2" t="s">
        <v>98</v>
      </c>
      <c r="B6" s="118" t="s">
        <v>101</v>
      </c>
      <c r="C6" s="2" t="s">
        <v>14</v>
      </c>
      <c r="D6" s="16">
        <v>36</v>
      </c>
      <c r="E6" s="16">
        <v>36</v>
      </c>
      <c r="F6" s="17">
        <v>2</v>
      </c>
      <c r="G6" s="17">
        <v>0</v>
      </c>
      <c r="H6" s="122" cm="1">
        <f t="array" ref="H6">INDEX('Нормативные затраты по МЗ'!$C$2:$C$7,MATCH(A6&amp;C6,'Нормативные затраты по МЗ'!$A$2:$A$7&amp;'Нормативные затраты по МЗ'!$B$2:$B$7,0))</f>
        <v>252.9</v>
      </c>
      <c r="I6" s="3">
        <f>HLOOKUP($C6,'Параметры ПФ'!$F$3:$K$10,8,FALSE)</f>
        <v>253</v>
      </c>
      <c r="J6" s="3">
        <f t="shared" ref="J6:J8" si="6">IF(H6=0,I6*F6*E6,IF(I6&gt;H6,H6*F6*E6,I6*F6*E6))</f>
        <v>18208.8</v>
      </c>
      <c r="K6" s="4">
        <f>IF(J6&lt;'Параметры ПФ'!$N$7+0.01,'Стандартные программы'!J6,ROUNDDOWN('Параметры ПФ'!$N$7/IF(H6=0,I6,IF(I6&gt;H6,H6,I6)),0)*IF(H6=0,I6,IF(I6&gt;H6,H6,I6)))</f>
        <v>18208.8</v>
      </c>
      <c r="L6" s="3">
        <f t="shared" ref="L6:L8" si="7">K6*G6</f>
        <v>0</v>
      </c>
      <c r="M6" s="25">
        <f>IF(J6&lt;'Параметры ПФ'!$N$7+0.01,E6*F6*G6,ROUNDDOWN('Параметры ПФ'!$N$7/IF(H6=0,I6,IF(I6&gt;H6,H6,I6)),0)*G6)</f>
        <v>0</v>
      </c>
      <c r="N6" s="19">
        <f t="shared" si="5"/>
        <v>0</v>
      </c>
      <c r="O6" s="95" t="b">
        <f t="shared" si="1"/>
        <v>1</v>
      </c>
      <c r="P6" s="96">
        <f t="shared" si="2"/>
        <v>72</v>
      </c>
    </row>
    <row r="7" spans="1:16" x14ac:dyDescent="0.25">
      <c r="A7" s="2" t="s">
        <v>98</v>
      </c>
      <c r="B7" s="118" t="s">
        <v>102</v>
      </c>
      <c r="C7" s="2" t="s">
        <v>14</v>
      </c>
      <c r="D7" s="16">
        <v>36</v>
      </c>
      <c r="E7" s="16">
        <v>20</v>
      </c>
      <c r="F7" s="17">
        <v>4</v>
      </c>
      <c r="G7" s="17">
        <v>0</v>
      </c>
      <c r="H7" s="122" cm="1">
        <f t="array" ref="H7">INDEX('Нормативные затраты по МЗ'!$C$2:$C$7,MATCH(A7&amp;C7,'Нормативные затраты по МЗ'!$A$2:$A$7&amp;'Нормативные затраты по МЗ'!$B$2:$B$7,0))</f>
        <v>252.9</v>
      </c>
      <c r="I7" s="3">
        <f>HLOOKUP($C7,'Параметры ПФ'!$F$3:$K$10,8,FALSE)</f>
        <v>253</v>
      </c>
      <c r="J7" s="3">
        <f t="shared" si="6"/>
        <v>20232</v>
      </c>
      <c r="K7" s="4">
        <f>IF(J7&lt;'Параметры ПФ'!$N$7+0.01,'Стандартные программы'!J7,ROUNDDOWN('Параметры ПФ'!$N$7/IF(H7=0,I7,IF(I7&gt;H7,H7,I7)),0)*IF(H7=0,I7,IF(I7&gt;H7,H7,I7)))</f>
        <v>20232</v>
      </c>
      <c r="L7" s="3">
        <f t="shared" si="7"/>
        <v>0</v>
      </c>
      <c r="M7" s="25">
        <f>IF(J7&lt;'Параметры ПФ'!$N$7+0.01,E7*F7*G7,ROUNDDOWN('Параметры ПФ'!$N$7/IF(H7=0,I7,IF(I7&gt;H7,H7,I7)),0)*G7)</f>
        <v>0</v>
      </c>
      <c r="N7" s="19">
        <f t="shared" si="5"/>
        <v>0</v>
      </c>
      <c r="O7" s="95" t="b">
        <f t="shared" si="1"/>
        <v>1</v>
      </c>
      <c r="P7" s="96">
        <f t="shared" si="2"/>
        <v>144</v>
      </c>
    </row>
    <row r="8" spans="1:16" x14ac:dyDescent="0.25">
      <c r="A8" s="2" t="s">
        <v>98</v>
      </c>
      <c r="B8" s="118" t="s">
        <v>102</v>
      </c>
      <c r="C8" s="2" t="s">
        <v>14</v>
      </c>
      <c r="D8" s="16">
        <v>36</v>
      </c>
      <c r="E8" s="16">
        <v>16</v>
      </c>
      <c r="F8" s="17">
        <v>4</v>
      </c>
      <c r="G8" s="17">
        <v>0</v>
      </c>
      <c r="H8" s="122" cm="1">
        <f t="array" ref="H8">INDEX('Нормативные затраты по МЗ'!$C$2:$C$7,MATCH(A8&amp;C8,'Нормативные затраты по МЗ'!$A$2:$A$7&amp;'Нормативные затраты по МЗ'!$B$2:$B$7,0))</f>
        <v>252.9</v>
      </c>
      <c r="I8" s="3">
        <f>HLOOKUP($C8,'Параметры ПФ'!$F$3:$K$10,8,FALSE)</f>
        <v>253</v>
      </c>
      <c r="J8" s="3">
        <f t="shared" si="6"/>
        <v>16185.6</v>
      </c>
      <c r="K8" s="4">
        <f>IF(J8&lt;'Параметры ПФ'!$N$7+0.01,'Стандартные программы'!J8,ROUNDDOWN('Параметры ПФ'!$N$7/IF(H8=0,I8,IF(I8&gt;H8,H8,I8)),0)*IF(H8=0,I8,IF(I8&gt;H8,H8,I8)))</f>
        <v>16185.6</v>
      </c>
      <c r="L8" s="3">
        <f t="shared" si="7"/>
        <v>0</v>
      </c>
      <c r="M8" s="25">
        <f>IF(J8&lt;'Параметры ПФ'!$N$7+0.01,E8*F8*G8,ROUNDDOWN('Параметры ПФ'!$N$7/IF(H8=0,I8,IF(I8&gt;H8,H8,I8)),0)*G8)</f>
        <v>0</v>
      </c>
      <c r="N8" s="19">
        <f t="shared" si="5"/>
        <v>0</v>
      </c>
      <c r="O8" s="95" t="b">
        <f t="shared" si="1"/>
        <v>1</v>
      </c>
      <c r="P8" s="96">
        <f t="shared" si="2"/>
        <v>144</v>
      </c>
    </row>
    <row r="9" spans="1:16" x14ac:dyDescent="0.25">
      <c r="A9" s="2" t="s">
        <v>98</v>
      </c>
      <c r="B9" s="118" t="s">
        <v>103</v>
      </c>
      <c r="C9" s="2" t="s">
        <v>1</v>
      </c>
      <c r="D9" s="16">
        <v>36</v>
      </c>
      <c r="E9" s="16">
        <v>36</v>
      </c>
      <c r="F9" s="17">
        <v>2</v>
      </c>
      <c r="G9" s="17">
        <v>0</v>
      </c>
      <c r="H9" s="122" cm="1">
        <f t="array" ref="H9">INDEX('Нормативные затраты по МЗ'!$C$2:$C$7,MATCH(A9&amp;C9,'Нормативные затраты по МЗ'!$A$2:$A$7&amp;'Нормативные затраты по МЗ'!$B$2:$B$7,0))</f>
        <v>249.5</v>
      </c>
      <c r="I9" s="3">
        <f>HLOOKUP($C9,'Параметры ПФ'!$F$3:$K$10,8,FALSE)</f>
        <v>249.57</v>
      </c>
      <c r="J9" s="3">
        <f t="shared" si="4"/>
        <v>17964</v>
      </c>
      <c r="K9" s="4">
        <f>IF(J9&lt;'Параметры ПФ'!$N$7+0.01,'Стандартные программы'!J9,ROUNDDOWN('Параметры ПФ'!$N$7/IF(H9=0,I9,IF(I9&gt;H9,H9,I9)),0)*IF(H9=0,I9,IF(I9&gt;H9,H9,I9)))</f>
        <v>17964</v>
      </c>
      <c r="L9" s="3">
        <f t="shared" si="0"/>
        <v>0</v>
      </c>
      <c r="M9" s="25">
        <f>IF(J9&lt;'Параметры ПФ'!$N$7+0.01,E9*F9*G9,ROUNDDOWN('Параметры ПФ'!$N$7/IF(H9=0,I9,IF(I9&gt;H9,H9,I9)),0)*G9)</f>
        <v>0</v>
      </c>
      <c r="N9" s="19">
        <f t="shared" si="5"/>
        <v>0</v>
      </c>
      <c r="O9" s="95" t="b">
        <f t="shared" si="1"/>
        <v>1</v>
      </c>
      <c r="P9" s="96">
        <f t="shared" si="2"/>
        <v>72</v>
      </c>
    </row>
    <row r="10" spans="1:16" x14ac:dyDescent="0.25">
      <c r="A10" s="2" t="s">
        <v>98</v>
      </c>
      <c r="B10" s="118" t="s">
        <v>104</v>
      </c>
      <c r="C10" s="2" t="s">
        <v>1</v>
      </c>
      <c r="D10" s="16">
        <v>36</v>
      </c>
      <c r="E10" s="16">
        <v>20</v>
      </c>
      <c r="F10" s="17">
        <v>4</v>
      </c>
      <c r="G10" s="17">
        <v>20</v>
      </c>
      <c r="H10" s="122" cm="1">
        <f t="array" ref="H10">INDEX('Нормативные затраты по МЗ'!$C$2:$C$7,MATCH(A10&amp;C10,'Нормативные затраты по МЗ'!$A$2:$A$7&amp;'Нормативные затраты по МЗ'!$B$2:$B$7,0))</f>
        <v>249.5</v>
      </c>
      <c r="I10" s="3">
        <f>HLOOKUP($C10,'Параметры ПФ'!$F$3:$K$10,8,FALSE)</f>
        <v>249.57</v>
      </c>
      <c r="J10" s="3">
        <f t="shared" si="4"/>
        <v>19960</v>
      </c>
      <c r="K10" s="4">
        <f>IF(J10&lt;'Параметры ПФ'!$N$7+0.01,'Стандартные программы'!J10,ROUNDDOWN('Параметры ПФ'!$N$7/IF(H10=0,I10,IF(I10&gt;H10,H10,I10)),0)*IF(H10=0,I10,IF(I10&gt;H10,H10,I10)))</f>
        <v>19960</v>
      </c>
      <c r="L10" s="3">
        <f t="shared" si="0"/>
        <v>399200</v>
      </c>
      <c r="M10" s="25">
        <f>IF(J10&lt;'Параметры ПФ'!$N$7+0.01,E10*F10*G10,ROUNDDOWN('Параметры ПФ'!$N$7/IF(H10=0,I10,IF(I10&gt;H10,H10,I10)),0)*G10)</f>
        <v>1600</v>
      </c>
      <c r="N10" s="19">
        <f t="shared" si="5"/>
        <v>0</v>
      </c>
      <c r="O10" s="95" t="b">
        <f t="shared" si="1"/>
        <v>1</v>
      </c>
      <c r="P10" s="96">
        <f t="shared" si="2"/>
        <v>144</v>
      </c>
    </row>
    <row r="11" spans="1:16" x14ac:dyDescent="0.25">
      <c r="A11" s="2" t="s">
        <v>98</v>
      </c>
      <c r="B11" s="118" t="s">
        <v>104</v>
      </c>
      <c r="C11" s="2" t="s">
        <v>1</v>
      </c>
      <c r="D11" s="16">
        <v>36</v>
      </c>
      <c r="E11" s="16">
        <v>16</v>
      </c>
      <c r="F11" s="17">
        <v>4</v>
      </c>
      <c r="G11" s="17">
        <v>20</v>
      </c>
      <c r="H11" s="122" cm="1">
        <f t="array" ref="H11">INDEX('Нормативные затраты по МЗ'!$C$2:$C$7,MATCH(A11&amp;C11,'Нормативные затраты по МЗ'!$A$2:$A$7&amp;'Нормативные затраты по МЗ'!$B$2:$B$7,0))</f>
        <v>249.5</v>
      </c>
      <c r="I11" s="3">
        <f>HLOOKUP($C11,'Параметры ПФ'!$F$3:$K$10,8,FALSE)</f>
        <v>249.57</v>
      </c>
      <c r="J11" s="3">
        <f t="shared" ref="J11:J50" si="8">IF(H11=0,I11*F11*E11,IF(I11&gt;H11,H11*F11*E11,I11*F11*E11))</f>
        <v>15968</v>
      </c>
      <c r="K11" s="4">
        <f>IF(J11&lt;'Параметры ПФ'!$N$7+0.01,'Стандартные программы'!J11,ROUNDDOWN('Параметры ПФ'!$N$7/IF(H11=0,I11,IF(I11&gt;H11,H11,I11)),0)*IF(H11=0,I11,IF(I11&gt;H11,H11,I11)))</f>
        <v>15968</v>
      </c>
      <c r="L11" s="3">
        <f t="shared" ref="L11:L50" si="9">K11*G11</f>
        <v>319360</v>
      </c>
      <c r="M11" s="25">
        <f>IF(J11&lt;'Параметры ПФ'!$N$7+0.01,E11*F11*G11,ROUNDDOWN('Параметры ПФ'!$N$7/IF(H11=0,I11,IF(I11&gt;H11,H11,I11)),0)*G11)</f>
        <v>1280</v>
      </c>
      <c r="N11" s="19">
        <f t="shared" ref="N11:N50" si="10">IF(H11=0,I11*F11*E11,IF(I11&gt;H11,H11*F11*E11,I11*F11*E11))-K11</f>
        <v>0</v>
      </c>
      <c r="O11" s="95" t="b">
        <f t="shared" si="1"/>
        <v>1</v>
      </c>
      <c r="P11" s="96">
        <f t="shared" si="2"/>
        <v>144</v>
      </c>
    </row>
    <row r="12" spans="1:16" x14ac:dyDescent="0.25">
      <c r="A12" s="2" t="s">
        <v>98</v>
      </c>
      <c r="B12" s="118" t="s">
        <v>105</v>
      </c>
      <c r="C12" s="2" t="s">
        <v>1</v>
      </c>
      <c r="D12" s="16">
        <v>36</v>
      </c>
      <c r="E12" s="16">
        <v>20</v>
      </c>
      <c r="F12" s="17">
        <v>4</v>
      </c>
      <c r="G12" s="17">
        <v>22</v>
      </c>
      <c r="H12" s="122" cm="1">
        <f t="array" ref="H12">INDEX('Нормативные затраты по МЗ'!$C$2:$C$7,MATCH(A12&amp;C12,'Нормативные затраты по МЗ'!$A$2:$A$7&amp;'Нормативные затраты по МЗ'!$B$2:$B$7,0))</f>
        <v>249.5</v>
      </c>
      <c r="I12" s="3">
        <f>HLOOKUP($C12,'Параметры ПФ'!$F$3:$K$10,8,FALSE)</f>
        <v>249.57</v>
      </c>
      <c r="J12" s="3">
        <f t="shared" si="8"/>
        <v>19960</v>
      </c>
      <c r="K12" s="4">
        <f>IF(J12&lt;'Параметры ПФ'!$N$7+0.01,'Стандартные программы'!J12,ROUNDDOWN('Параметры ПФ'!$N$7/IF(H12=0,I12,IF(I12&gt;H12,H12,I12)),0)*IF(H12=0,I12,IF(I12&gt;H12,H12,I12)))</f>
        <v>19960</v>
      </c>
      <c r="L12" s="3">
        <f t="shared" si="9"/>
        <v>439120</v>
      </c>
      <c r="M12" s="25">
        <f>IF(J12&lt;'Параметры ПФ'!$N$7+0.01,E12*F12*G12,ROUNDDOWN('Параметры ПФ'!$N$7/IF(H12=0,I12,IF(I12&gt;H12,H12,I12)),0)*G12)</f>
        <v>1760</v>
      </c>
      <c r="N12" s="19">
        <f t="shared" si="10"/>
        <v>0</v>
      </c>
      <c r="O12" s="95" t="b">
        <f t="shared" si="1"/>
        <v>1</v>
      </c>
      <c r="P12" s="96">
        <f t="shared" si="2"/>
        <v>144</v>
      </c>
    </row>
    <row r="13" spans="1:16" x14ac:dyDescent="0.25">
      <c r="A13" s="2" t="s">
        <v>98</v>
      </c>
      <c r="B13" s="118" t="s">
        <v>105</v>
      </c>
      <c r="C13" s="2" t="s">
        <v>1</v>
      </c>
      <c r="D13" s="16">
        <v>36</v>
      </c>
      <c r="E13" s="16">
        <v>16</v>
      </c>
      <c r="F13" s="17">
        <v>4</v>
      </c>
      <c r="G13" s="17">
        <v>22</v>
      </c>
      <c r="H13" s="122" cm="1">
        <f t="array" ref="H13">INDEX('Нормативные затраты по МЗ'!$C$2:$C$7,MATCH(A13&amp;C13,'Нормативные затраты по МЗ'!$A$2:$A$7&amp;'Нормативные затраты по МЗ'!$B$2:$B$7,0))</f>
        <v>249.5</v>
      </c>
      <c r="I13" s="3">
        <f>HLOOKUP($C13,'Параметры ПФ'!$F$3:$K$10,8,FALSE)</f>
        <v>249.57</v>
      </c>
      <c r="J13" s="3">
        <f t="shared" si="8"/>
        <v>15968</v>
      </c>
      <c r="K13" s="4">
        <f>IF(J13&lt;'Параметры ПФ'!$N$7+0.01,'Стандартные программы'!J13,ROUNDDOWN('Параметры ПФ'!$N$7/IF(H13=0,I13,IF(I13&gt;H13,H13,I13)),0)*IF(H13=0,I13,IF(I13&gt;H13,H13,I13)))</f>
        <v>15968</v>
      </c>
      <c r="L13" s="3">
        <f t="shared" si="9"/>
        <v>351296</v>
      </c>
      <c r="M13" s="25">
        <f>IF(J13&lt;'Параметры ПФ'!$N$7+0.01,E13*F13*G13,ROUNDDOWN('Параметры ПФ'!$N$7/IF(H13=0,I13,IF(I13&gt;H13,H13,I13)),0)*G13)</f>
        <v>1408</v>
      </c>
      <c r="N13" s="19">
        <f t="shared" si="10"/>
        <v>0</v>
      </c>
      <c r="O13" s="95" t="b">
        <f t="shared" si="1"/>
        <v>1</v>
      </c>
      <c r="P13" s="96">
        <f t="shared" si="2"/>
        <v>144</v>
      </c>
    </row>
    <row r="14" spans="1:16" x14ac:dyDescent="0.25">
      <c r="A14" s="2" t="s">
        <v>98</v>
      </c>
      <c r="B14" s="118" t="s">
        <v>106</v>
      </c>
      <c r="C14" s="2" t="s">
        <v>1</v>
      </c>
      <c r="D14" s="16">
        <v>36</v>
      </c>
      <c r="E14" s="16">
        <v>20</v>
      </c>
      <c r="F14" s="17">
        <v>4</v>
      </c>
      <c r="G14" s="17">
        <v>10</v>
      </c>
      <c r="H14" s="122" cm="1">
        <f t="array" ref="H14">INDEX('Нормативные затраты по МЗ'!$C$2:$C$7,MATCH(A14&amp;C14,'Нормативные затраты по МЗ'!$A$2:$A$7&amp;'Нормативные затраты по МЗ'!$B$2:$B$7,0))</f>
        <v>249.5</v>
      </c>
      <c r="I14" s="3">
        <f>HLOOKUP($C14,'Параметры ПФ'!$F$3:$K$10,8,FALSE)</f>
        <v>249.57</v>
      </c>
      <c r="J14" s="3">
        <f t="shared" si="8"/>
        <v>19960</v>
      </c>
      <c r="K14" s="4">
        <f>IF(J14&lt;'Параметры ПФ'!$N$7+0.01,'Стандартные программы'!J14,ROUNDDOWN('Параметры ПФ'!$N$7/IF(H14=0,I14,IF(I14&gt;H14,H14,I14)),0)*IF(H14=0,I14,IF(I14&gt;H14,H14,I14)))</f>
        <v>19960</v>
      </c>
      <c r="L14" s="3">
        <f t="shared" si="9"/>
        <v>199600</v>
      </c>
      <c r="M14" s="25">
        <f>IF(J14&lt;'Параметры ПФ'!$N$7+0.01,E14*F14*G14,ROUNDDOWN('Параметры ПФ'!$N$7/IF(H14=0,I14,IF(I14&gt;H14,H14,I14)),0)*G14)</f>
        <v>800</v>
      </c>
      <c r="N14" s="19">
        <f t="shared" si="10"/>
        <v>0</v>
      </c>
      <c r="O14" s="95" t="b">
        <f t="shared" si="1"/>
        <v>1</v>
      </c>
      <c r="P14" s="96">
        <f t="shared" si="2"/>
        <v>144</v>
      </c>
    </row>
    <row r="15" spans="1:16" x14ac:dyDescent="0.25">
      <c r="A15" s="2" t="s">
        <v>98</v>
      </c>
      <c r="B15" s="118" t="s">
        <v>106</v>
      </c>
      <c r="C15" s="2" t="s">
        <v>1</v>
      </c>
      <c r="D15" s="16">
        <v>36</v>
      </c>
      <c r="E15" s="16">
        <v>16</v>
      </c>
      <c r="F15" s="17">
        <v>4</v>
      </c>
      <c r="G15" s="17">
        <v>10</v>
      </c>
      <c r="H15" s="122" cm="1">
        <f t="array" ref="H15">INDEX('Нормативные затраты по МЗ'!$C$2:$C$7,MATCH(A15&amp;C15,'Нормативные затраты по МЗ'!$A$2:$A$7&amp;'Нормативные затраты по МЗ'!$B$2:$B$7,0))</f>
        <v>249.5</v>
      </c>
      <c r="I15" s="3">
        <f>HLOOKUP($C15,'Параметры ПФ'!$F$3:$K$10,8,FALSE)</f>
        <v>249.57</v>
      </c>
      <c r="J15" s="3">
        <f t="shared" si="8"/>
        <v>15968</v>
      </c>
      <c r="K15" s="4">
        <f>IF(J15&lt;'Параметры ПФ'!$N$7+0.01,'Стандартные программы'!J15,ROUNDDOWN('Параметры ПФ'!$N$7/IF(H15=0,I15,IF(I15&gt;H15,H15,I15)),0)*IF(H15=0,I15,IF(I15&gt;H15,H15,I15)))</f>
        <v>15968</v>
      </c>
      <c r="L15" s="3">
        <f t="shared" si="9"/>
        <v>159680</v>
      </c>
      <c r="M15" s="25">
        <f>IF(J15&lt;'Параметры ПФ'!$N$7+0.01,E15*F15*G15,ROUNDDOWN('Параметры ПФ'!$N$7/IF(H15=0,I15,IF(I15&gt;H15,H15,I15)),0)*G15)</f>
        <v>640</v>
      </c>
      <c r="N15" s="19">
        <f t="shared" si="10"/>
        <v>0</v>
      </c>
      <c r="O15" s="95" t="b">
        <f t="shared" si="1"/>
        <v>1</v>
      </c>
      <c r="P15" s="96">
        <f t="shared" si="2"/>
        <v>144</v>
      </c>
    </row>
    <row r="16" spans="1:16" x14ac:dyDescent="0.25">
      <c r="A16" s="2" t="s">
        <v>98</v>
      </c>
      <c r="B16" s="118" t="s">
        <v>107</v>
      </c>
      <c r="C16" s="2" t="s">
        <v>1</v>
      </c>
      <c r="D16" s="16">
        <v>36</v>
      </c>
      <c r="E16" s="16">
        <v>20</v>
      </c>
      <c r="F16" s="17">
        <v>4</v>
      </c>
      <c r="G16" s="17">
        <v>21</v>
      </c>
      <c r="H16" s="122" cm="1">
        <f t="array" ref="H16">INDEX('Нормативные затраты по МЗ'!$C$2:$C$7,MATCH(A16&amp;C16,'Нормативные затраты по МЗ'!$A$2:$A$7&amp;'Нормативные затраты по МЗ'!$B$2:$B$7,0))</f>
        <v>249.5</v>
      </c>
      <c r="I16" s="3">
        <f>HLOOKUP($C16,'Параметры ПФ'!$F$3:$K$10,8,FALSE)</f>
        <v>249.57</v>
      </c>
      <c r="J16" s="3">
        <f t="shared" si="8"/>
        <v>19960</v>
      </c>
      <c r="K16" s="4">
        <f>IF(J16&lt;'Параметры ПФ'!$N$7+0.01,'Стандартные программы'!J16,ROUNDDOWN('Параметры ПФ'!$N$7/IF(H16=0,I16,IF(I16&gt;H16,H16,I16)),0)*IF(H16=0,I16,IF(I16&gt;H16,H16,I16)))</f>
        <v>19960</v>
      </c>
      <c r="L16" s="3">
        <f t="shared" si="9"/>
        <v>419160</v>
      </c>
      <c r="M16" s="25">
        <f>IF(J16&lt;'Параметры ПФ'!$N$7+0.01,E16*F16*G16,ROUNDDOWN('Параметры ПФ'!$N$7/IF(H16=0,I16,IF(I16&gt;H16,H16,I16)),0)*G16)</f>
        <v>1680</v>
      </c>
      <c r="N16" s="19">
        <f t="shared" si="10"/>
        <v>0</v>
      </c>
      <c r="O16" s="95" t="b">
        <f t="shared" si="1"/>
        <v>1</v>
      </c>
      <c r="P16" s="96">
        <f t="shared" si="2"/>
        <v>144</v>
      </c>
    </row>
    <row r="17" spans="1:16" x14ac:dyDescent="0.25">
      <c r="A17" s="2" t="s">
        <v>98</v>
      </c>
      <c r="B17" s="118" t="s">
        <v>107</v>
      </c>
      <c r="C17" s="2" t="s">
        <v>1</v>
      </c>
      <c r="D17" s="16">
        <v>36</v>
      </c>
      <c r="E17" s="16">
        <v>16</v>
      </c>
      <c r="F17" s="17">
        <v>4</v>
      </c>
      <c r="G17" s="17">
        <v>21</v>
      </c>
      <c r="H17" s="122" cm="1">
        <f t="array" ref="H17">INDEX('Нормативные затраты по МЗ'!$C$2:$C$7,MATCH(A17&amp;C17,'Нормативные затраты по МЗ'!$A$2:$A$7&amp;'Нормативные затраты по МЗ'!$B$2:$B$7,0))</f>
        <v>249.5</v>
      </c>
      <c r="I17" s="3">
        <f>HLOOKUP($C17,'Параметры ПФ'!$F$3:$K$10,8,FALSE)</f>
        <v>249.57</v>
      </c>
      <c r="J17" s="3">
        <f t="shared" si="8"/>
        <v>15968</v>
      </c>
      <c r="K17" s="4">
        <f>IF(J17&lt;'Параметры ПФ'!$N$7+0.01,'Стандартные программы'!J17,ROUNDDOWN('Параметры ПФ'!$N$7/IF(H17=0,I17,IF(I17&gt;H17,H17,I17)),0)*IF(H17=0,I17,IF(I17&gt;H17,H17,I17)))</f>
        <v>15968</v>
      </c>
      <c r="L17" s="3">
        <f t="shared" si="9"/>
        <v>335328</v>
      </c>
      <c r="M17" s="25">
        <f>IF(J17&lt;'Параметры ПФ'!$N$7+0.01,E17*F17*G17,ROUNDDOWN('Параметры ПФ'!$N$7/IF(H17=0,I17,IF(I17&gt;H17,H17,I17)),0)*G17)</f>
        <v>1344</v>
      </c>
      <c r="N17" s="19">
        <f t="shared" si="10"/>
        <v>0</v>
      </c>
      <c r="O17" s="95" t="b">
        <f t="shared" si="1"/>
        <v>1</v>
      </c>
      <c r="P17" s="96">
        <f t="shared" si="2"/>
        <v>144</v>
      </c>
    </row>
    <row r="18" spans="1:16" x14ac:dyDescent="0.25">
      <c r="A18" s="2" t="s">
        <v>98</v>
      </c>
      <c r="B18" s="118" t="s">
        <v>108</v>
      </c>
      <c r="C18" s="2" t="s">
        <v>1</v>
      </c>
      <c r="D18" s="16">
        <v>36</v>
      </c>
      <c r="E18" s="16">
        <v>20</v>
      </c>
      <c r="F18" s="17">
        <v>4</v>
      </c>
      <c r="G18" s="17">
        <v>0</v>
      </c>
      <c r="H18" s="122" cm="1">
        <f t="array" ref="H18">INDEX('Нормативные затраты по МЗ'!$C$2:$C$7,MATCH(A18&amp;C18,'Нормативные затраты по МЗ'!$A$2:$A$7&amp;'Нормативные затраты по МЗ'!$B$2:$B$7,0))</f>
        <v>249.5</v>
      </c>
      <c r="I18" s="3">
        <f>HLOOKUP($C18,'Параметры ПФ'!$F$3:$K$10,8,FALSE)</f>
        <v>249.57</v>
      </c>
      <c r="J18" s="3">
        <f t="shared" si="8"/>
        <v>19960</v>
      </c>
      <c r="K18" s="4">
        <f>IF(J18&lt;'Параметры ПФ'!$N$7+0.01,'Стандартные программы'!J18,ROUNDDOWN('Параметры ПФ'!$N$7/IF(H18=0,I18,IF(I18&gt;H18,H18,I18)),0)*IF(H18=0,I18,IF(I18&gt;H18,H18,I18)))</f>
        <v>19960</v>
      </c>
      <c r="L18" s="3">
        <f t="shared" si="9"/>
        <v>0</v>
      </c>
      <c r="M18" s="25">
        <f>IF(J18&lt;'Параметры ПФ'!$N$7+0.01,E18*F18*G18,ROUNDDOWN('Параметры ПФ'!$N$7/IF(H18=0,I18,IF(I18&gt;H18,H18,I18)),0)*G18)</f>
        <v>0</v>
      </c>
      <c r="N18" s="19">
        <f t="shared" si="10"/>
        <v>0</v>
      </c>
      <c r="O18" s="95" t="b">
        <f t="shared" si="1"/>
        <v>1</v>
      </c>
      <c r="P18" s="96">
        <f t="shared" si="2"/>
        <v>144</v>
      </c>
    </row>
    <row r="19" spans="1:16" x14ac:dyDescent="0.25">
      <c r="A19" s="2" t="s">
        <v>98</v>
      </c>
      <c r="B19" s="118" t="s">
        <v>108</v>
      </c>
      <c r="C19" s="2" t="s">
        <v>1</v>
      </c>
      <c r="D19" s="16">
        <v>36</v>
      </c>
      <c r="E19" s="16">
        <v>16</v>
      </c>
      <c r="F19" s="17">
        <v>4</v>
      </c>
      <c r="G19" s="17">
        <v>0</v>
      </c>
      <c r="H19" s="122" cm="1">
        <f t="array" ref="H19">INDEX('Нормативные затраты по МЗ'!$C$2:$C$7,MATCH(A19&amp;C19,'Нормативные затраты по МЗ'!$A$2:$A$7&amp;'Нормативные затраты по МЗ'!$B$2:$B$7,0))</f>
        <v>249.5</v>
      </c>
      <c r="I19" s="3">
        <f>HLOOKUP($C19,'Параметры ПФ'!$F$3:$K$10,8,FALSE)</f>
        <v>249.57</v>
      </c>
      <c r="J19" s="3">
        <f t="shared" si="8"/>
        <v>15968</v>
      </c>
      <c r="K19" s="4">
        <f>IF(J19&lt;'Параметры ПФ'!$N$7+0.01,'Стандартные программы'!J19,ROUNDDOWN('Параметры ПФ'!$N$7/IF(H19=0,I19,IF(I19&gt;H19,H19,I19)),0)*IF(H19=0,I19,IF(I19&gt;H19,H19,I19)))</f>
        <v>15968</v>
      </c>
      <c r="L19" s="3">
        <f t="shared" si="9"/>
        <v>0</v>
      </c>
      <c r="M19" s="25">
        <f>IF(J19&lt;'Параметры ПФ'!$N$7+0.01,E19*F19*G19,ROUNDDOWN('Параметры ПФ'!$N$7/IF(H19=0,I19,IF(I19&gt;H19,H19,I19)),0)*G19)</f>
        <v>0</v>
      </c>
      <c r="N19" s="19">
        <f t="shared" si="10"/>
        <v>0</v>
      </c>
      <c r="O19" s="95" t="b">
        <f t="shared" si="1"/>
        <v>1</v>
      </c>
      <c r="P19" s="96">
        <f t="shared" si="2"/>
        <v>144</v>
      </c>
    </row>
    <row r="20" spans="1:16" x14ac:dyDescent="0.25">
      <c r="A20" s="2" t="s">
        <v>98</v>
      </c>
      <c r="B20" s="118" t="s">
        <v>109</v>
      </c>
      <c r="C20" s="2" t="s">
        <v>1</v>
      </c>
      <c r="D20" s="16">
        <v>36</v>
      </c>
      <c r="E20" s="16">
        <v>20</v>
      </c>
      <c r="F20" s="17">
        <v>4</v>
      </c>
      <c r="G20" s="17">
        <v>30</v>
      </c>
      <c r="H20" s="122" cm="1">
        <f t="array" ref="H20">INDEX('Нормативные затраты по МЗ'!$C$2:$C$7,MATCH(A20&amp;C20,'Нормативные затраты по МЗ'!$A$2:$A$7&amp;'Нормативные затраты по МЗ'!$B$2:$B$7,0))</f>
        <v>249.5</v>
      </c>
      <c r="I20" s="3">
        <f>HLOOKUP($C20,'Параметры ПФ'!$F$3:$K$10,8,FALSE)</f>
        <v>249.57</v>
      </c>
      <c r="J20" s="3">
        <f t="shared" si="8"/>
        <v>19960</v>
      </c>
      <c r="K20" s="4">
        <f>IF(J20&lt;'Параметры ПФ'!$N$7+0.01,'Стандартные программы'!J20,ROUNDDOWN('Параметры ПФ'!$N$7/IF(H20=0,I20,IF(I20&gt;H20,H20,I20)),0)*IF(H20=0,I20,IF(I20&gt;H20,H20,I20)))</f>
        <v>19960</v>
      </c>
      <c r="L20" s="3">
        <f t="shared" si="9"/>
        <v>598800</v>
      </c>
      <c r="M20" s="25">
        <f>IF(J20&lt;'Параметры ПФ'!$N$7+0.01,E20*F20*G20,ROUNDDOWN('Параметры ПФ'!$N$7/IF(H20=0,I20,IF(I20&gt;H20,H20,I20)),0)*G20)</f>
        <v>2400</v>
      </c>
      <c r="N20" s="19">
        <f t="shared" si="10"/>
        <v>0</v>
      </c>
      <c r="O20" s="95" t="b">
        <f t="shared" si="1"/>
        <v>1</v>
      </c>
      <c r="P20" s="96">
        <f t="shared" si="2"/>
        <v>144</v>
      </c>
    </row>
    <row r="21" spans="1:16" x14ac:dyDescent="0.25">
      <c r="A21" s="2" t="s">
        <v>98</v>
      </c>
      <c r="B21" s="118" t="s">
        <v>109</v>
      </c>
      <c r="C21" s="2" t="s">
        <v>1</v>
      </c>
      <c r="D21" s="16">
        <v>36</v>
      </c>
      <c r="E21" s="16">
        <v>16</v>
      </c>
      <c r="F21" s="17">
        <v>4</v>
      </c>
      <c r="G21" s="17">
        <v>30</v>
      </c>
      <c r="H21" s="122" cm="1">
        <f t="array" ref="H21">INDEX('Нормативные затраты по МЗ'!$C$2:$C$7,MATCH(A21&amp;C21,'Нормативные затраты по МЗ'!$A$2:$A$7&amp;'Нормативные затраты по МЗ'!$B$2:$B$7,0))</f>
        <v>249.5</v>
      </c>
      <c r="I21" s="3">
        <f>HLOOKUP($C21,'Параметры ПФ'!$F$3:$K$10,8,FALSE)</f>
        <v>249.57</v>
      </c>
      <c r="J21" s="3">
        <f t="shared" si="8"/>
        <v>15968</v>
      </c>
      <c r="K21" s="4">
        <f>IF(J21&lt;'Параметры ПФ'!$N$7+0.01,'Стандартные программы'!J21,ROUNDDOWN('Параметры ПФ'!$N$7/IF(H21=0,I21,IF(I21&gt;H21,H21,I21)),0)*IF(H21=0,I21,IF(I21&gt;H21,H21,I21)))</f>
        <v>15968</v>
      </c>
      <c r="L21" s="3">
        <f t="shared" si="9"/>
        <v>479040</v>
      </c>
      <c r="M21" s="25">
        <f>IF(J21&lt;'Параметры ПФ'!$N$7+0.01,E21*F21*G21,ROUNDDOWN('Параметры ПФ'!$N$7/IF(H21=0,I21,IF(I21&gt;H21,H21,I21)),0)*G21)</f>
        <v>1920</v>
      </c>
      <c r="N21" s="19">
        <f t="shared" si="10"/>
        <v>0</v>
      </c>
      <c r="O21" s="95" t="b">
        <f t="shared" si="1"/>
        <v>1</v>
      </c>
      <c r="P21" s="96">
        <f t="shared" si="2"/>
        <v>144</v>
      </c>
    </row>
    <row r="22" spans="1:16" x14ac:dyDescent="0.25">
      <c r="A22" s="2" t="s">
        <v>98</v>
      </c>
      <c r="B22" s="118" t="s">
        <v>110</v>
      </c>
      <c r="C22" s="2" t="s">
        <v>1</v>
      </c>
      <c r="D22" s="16">
        <v>36</v>
      </c>
      <c r="E22" s="16">
        <v>20</v>
      </c>
      <c r="F22" s="17">
        <v>4</v>
      </c>
      <c r="G22" s="17">
        <v>14</v>
      </c>
      <c r="H22" s="122" cm="1">
        <f t="array" ref="H22">INDEX('Нормативные затраты по МЗ'!$C$2:$C$7,MATCH(A22&amp;C22,'Нормативные затраты по МЗ'!$A$2:$A$7&amp;'Нормативные затраты по МЗ'!$B$2:$B$7,0))</f>
        <v>249.5</v>
      </c>
      <c r="I22" s="3">
        <f>HLOOKUP($C22,'Параметры ПФ'!$F$3:$K$10,8,FALSE)</f>
        <v>249.57</v>
      </c>
      <c r="J22" s="3">
        <f t="shared" si="8"/>
        <v>19960</v>
      </c>
      <c r="K22" s="4">
        <f>IF(J22&lt;'Параметры ПФ'!$N$7+0.01,'Стандартные программы'!J22,ROUNDDOWN('Параметры ПФ'!$N$7/IF(H22=0,I22,IF(I22&gt;H22,H22,I22)),0)*IF(H22=0,I22,IF(I22&gt;H22,H22,I22)))</f>
        <v>19960</v>
      </c>
      <c r="L22" s="3">
        <f t="shared" si="9"/>
        <v>279440</v>
      </c>
      <c r="M22" s="25">
        <f>IF(J22&lt;'Параметры ПФ'!$N$7+0.01,E22*F22*G22,ROUNDDOWN('Параметры ПФ'!$N$7/IF(H22=0,I22,IF(I22&gt;H22,H22,I22)),0)*G22)</f>
        <v>1120</v>
      </c>
      <c r="N22" s="19">
        <f t="shared" si="10"/>
        <v>0</v>
      </c>
      <c r="O22" s="95" t="b">
        <f t="shared" si="1"/>
        <v>1</v>
      </c>
      <c r="P22" s="96">
        <f t="shared" si="2"/>
        <v>144</v>
      </c>
    </row>
    <row r="23" spans="1:16" x14ac:dyDescent="0.25">
      <c r="A23" s="2" t="s">
        <v>98</v>
      </c>
      <c r="B23" s="118" t="s">
        <v>110</v>
      </c>
      <c r="C23" s="2" t="s">
        <v>1</v>
      </c>
      <c r="D23" s="16">
        <v>36</v>
      </c>
      <c r="E23" s="16">
        <v>16</v>
      </c>
      <c r="F23" s="17">
        <v>4</v>
      </c>
      <c r="G23" s="17">
        <v>12</v>
      </c>
      <c r="H23" s="122" cm="1">
        <f t="array" ref="H23">INDEX('Нормативные затраты по МЗ'!$C$2:$C$7,MATCH(A23&amp;C23,'Нормативные затраты по МЗ'!$A$2:$A$7&amp;'Нормативные затраты по МЗ'!$B$2:$B$7,0))</f>
        <v>249.5</v>
      </c>
      <c r="I23" s="3">
        <f>HLOOKUP($C23,'Параметры ПФ'!$F$3:$K$10,8,FALSE)</f>
        <v>249.57</v>
      </c>
      <c r="J23" s="3">
        <f t="shared" si="8"/>
        <v>15968</v>
      </c>
      <c r="K23" s="4">
        <f>IF(J23&lt;'Параметры ПФ'!$N$7+0.01,'Стандартные программы'!J23,ROUNDDOWN('Параметры ПФ'!$N$7/IF(H23=0,I23,IF(I23&gt;H23,H23,I23)),0)*IF(H23=0,I23,IF(I23&gt;H23,H23,I23)))</f>
        <v>15968</v>
      </c>
      <c r="L23" s="3">
        <f t="shared" si="9"/>
        <v>191616</v>
      </c>
      <c r="M23" s="25">
        <f>IF(J23&lt;'Параметры ПФ'!$N$7+0.01,E23*F23*G23,ROUNDDOWN('Параметры ПФ'!$N$7/IF(H23=0,I23,IF(I23&gt;H23,H23,I23)),0)*G23)</f>
        <v>768</v>
      </c>
      <c r="N23" s="19">
        <f t="shared" si="10"/>
        <v>0</v>
      </c>
      <c r="O23" s="95" t="b">
        <f t="shared" si="1"/>
        <v>1</v>
      </c>
      <c r="P23" s="96">
        <f t="shared" si="2"/>
        <v>144</v>
      </c>
    </row>
    <row r="24" spans="1:16" x14ac:dyDescent="0.25">
      <c r="A24" s="2" t="s">
        <v>98</v>
      </c>
      <c r="B24" s="118" t="s">
        <v>111</v>
      </c>
      <c r="C24" s="2" t="s">
        <v>1</v>
      </c>
      <c r="D24" s="16">
        <v>36</v>
      </c>
      <c r="E24" s="16">
        <v>20</v>
      </c>
      <c r="F24" s="17">
        <v>4</v>
      </c>
      <c r="G24" s="17">
        <v>10</v>
      </c>
      <c r="H24" s="122" cm="1">
        <f t="array" ref="H24">INDEX('Нормативные затраты по МЗ'!$C$2:$C$7,MATCH(A24&amp;C24,'Нормативные затраты по МЗ'!$A$2:$A$7&amp;'Нормативные затраты по МЗ'!$B$2:$B$7,0))</f>
        <v>249.5</v>
      </c>
      <c r="I24" s="3">
        <f>HLOOKUP($C24,'Параметры ПФ'!$F$3:$K$10,8,FALSE)</f>
        <v>249.57</v>
      </c>
      <c r="J24" s="3">
        <f t="shared" si="8"/>
        <v>19960</v>
      </c>
      <c r="K24" s="4">
        <f>IF(J24&lt;'Параметры ПФ'!$N$7+0.01,'Стандартные программы'!J24,ROUNDDOWN('Параметры ПФ'!$N$7/IF(H24=0,I24,IF(I24&gt;H24,H24,I24)),0)*IF(H24=0,I24,IF(I24&gt;H24,H24,I24)))</f>
        <v>19960</v>
      </c>
      <c r="L24" s="3">
        <f t="shared" si="9"/>
        <v>199600</v>
      </c>
      <c r="M24" s="25">
        <f>IF(J24&lt;'Параметры ПФ'!$N$7+0.01,E24*F24*G24,ROUNDDOWN('Параметры ПФ'!$N$7/IF(H24=0,I24,IF(I24&gt;H24,H24,I24)),0)*G24)</f>
        <v>800</v>
      </c>
      <c r="N24" s="19">
        <f t="shared" si="10"/>
        <v>0</v>
      </c>
      <c r="O24" s="95" t="b">
        <f t="shared" si="1"/>
        <v>1</v>
      </c>
      <c r="P24" s="96">
        <f t="shared" si="2"/>
        <v>144</v>
      </c>
    </row>
    <row r="25" spans="1:16" x14ac:dyDescent="0.25">
      <c r="A25" s="2" t="s">
        <v>98</v>
      </c>
      <c r="B25" s="118" t="s">
        <v>111</v>
      </c>
      <c r="C25" s="2" t="s">
        <v>1</v>
      </c>
      <c r="D25" s="16">
        <v>36</v>
      </c>
      <c r="E25" s="16">
        <v>16</v>
      </c>
      <c r="F25" s="17">
        <v>4</v>
      </c>
      <c r="G25" s="17">
        <v>10</v>
      </c>
      <c r="H25" s="122" cm="1">
        <f t="array" ref="H25">INDEX('Нормативные затраты по МЗ'!$C$2:$C$7,MATCH(A25&amp;C25,'Нормативные затраты по МЗ'!$A$2:$A$7&amp;'Нормативные затраты по МЗ'!$B$2:$B$7,0))</f>
        <v>249.5</v>
      </c>
      <c r="I25" s="3">
        <f>HLOOKUP($C25,'Параметры ПФ'!$F$3:$K$10,8,FALSE)</f>
        <v>249.57</v>
      </c>
      <c r="J25" s="3">
        <f t="shared" si="8"/>
        <v>15968</v>
      </c>
      <c r="K25" s="4">
        <f>IF(J25&lt;'Параметры ПФ'!$N$7+0.01,'Стандартные программы'!J25,ROUNDDOWN('Параметры ПФ'!$N$7/IF(H25=0,I25,IF(I25&gt;H25,H25,I25)),0)*IF(H25=0,I25,IF(I25&gt;H25,H25,I25)))</f>
        <v>15968</v>
      </c>
      <c r="L25" s="3">
        <f t="shared" si="9"/>
        <v>159680</v>
      </c>
      <c r="M25" s="25">
        <f>IF(J25&lt;'Параметры ПФ'!$N$7+0.01,E25*F25*G25,ROUNDDOWN('Параметры ПФ'!$N$7/IF(H25=0,I25,IF(I25&gt;H25,H25,I25)),0)*G25)</f>
        <v>640</v>
      </c>
      <c r="N25" s="19">
        <f t="shared" si="10"/>
        <v>0</v>
      </c>
      <c r="O25" s="95" t="b">
        <f t="shared" si="1"/>
        <v>1</v>
      </c>
      <c r="P25" s="96">
        <f t="shared" si="2"/>
        <v>144</v>
      </c>
    </row>
    <row r="26" spans="1:16" ht="31.5" x14ac:dyDescent="0.25">
      <c r="A26" s="2" t="s">
        <v>98</v>
      </c>
      <c r="B26" s="118" t="s">
        <v>112</v>
      </c>
      <c r="C26" s="2" t="s">
        <v>1</v>
      </c>
      <c r="D26" s="16">
        <v>36</v>
      </c>
      <c r="E26" s="16">
        <v>20</v>
      </c>
      <c r="F26" s="17">
        <v>4</v>
      </c>
      <c r="G26" s="17">
        <v>10</v>
      </c>
      <c r="H26" s="122" cm="1">
        <f t="array" ref="H26">INDEX('Нормативные затраты по МЗ'!$C$2:$C$7,MATCH(A26&amp;C26,'Нормативные затраты по МЗ'!$A$2:$A$7&amp;'Нормативные затраты по МЗ'!$B$2:$B$7,0))</f>
        <v>249.5</v>
      </c>
      <c r="I26" s="3">
        <f>HLOOKUP($C26,'Параметры ПФ'!$F$3:$K$10,8,FALSE)</f>
        <v>249.57</v>
      </c>
      <c r="J26" s="3">
        <f t="shared" si="8"/>
        <v>19960</v>
      </c>
      <c r="K26" s="4">
        <f>IF(J26&lt;'Параметры ПФ'!$N$7+0.01,'Стандартные программы'!J26,ROUNDDOWN('Параметры ПФ'!$N$7/IF(H26=0,I26,IF(I26&gt;H26,H26,I26)),0)*IF(H26=0,I26,IF(I26&gt;H26,H26,I26)))</f>
        <v>19960</v>
      </c>
      <c r="L26" s="3">
        <f t="shared" si="9"/>
        <v>199600</v>
      </c>
      <c r="M26" s="25">
        <f>IF(J26&lt;'Параметры ПФ'!$N$7+0.01,E26*F26*G26,ROUNDDOWN('Параметры ПФ'!$N$7/IF(H26=0,I26,IF(I26&gt;H26,H26,I26)),0)*G26)</f>
        <v>800</v>
      </c>
      <c r="N26" s="19">
        <f t="shared" si="10"/>
        <v>0</v>
      </c>
      <c r="O26" s="95" t="b">
        <f t="shared" si="1"/>
        <v>1</v>
      </c>
      <c r="P26" s="96">
        <f t="shared" si="2"/>
        <v>144</v>
      </c>
    </row>
    <row r="27" spans="1:16" ht="31.5" x14ac:dyDescent="0.25">
      <c r="A27" s="2" t="s">
        <v>98</v>
      </c>
      <c r="B27" s="118" t="s">
        <v>112</v>
      </c>
      <c r="C27" s="2" t="s">
        <v>1</v>
      </c>
      <c r="D27" s="16">
        <v>36</v>
      </c>
      <c r="E27" s="16">
        <v>16</v>
      </c>
      <c r="F27" s="17">
        <v>4</v>
      </c>
      <c r="G27" s="17">
        <v>10</v>
      </c>
      <c r="H27" s="122" cm="1">
        <f t="array" ref="H27">INDEX('Нормативные затраты по МЗ'!$C$2:$C$7,MATCH(A27&amp;C27,'Нормативные затраты по МЗ'!$A$2:$A$7&amp;'Нормативные затраты по МЗ'!$B$2:$B$7,0))</f>
        <v>249.5</v>
      </c>
      <c r="I27" s="3">
        <f>HLOOKUP($C27,'Параметры ПФ'!$F$3:$K$10,8,FALSE)</f>
        <v>249.57</v>
      </c>
      <c r="J27" s="3">
        <f t="shared" si="8"/>
        <v>15968</v>
      </c>
      <c r="K27" s="4">
        <f>IF(J27&lt;'Параметры ПФ'!$N$7+0.01,'Стандартные программы'!J27,ROUNDDOWN('Параметры ПФ'!$N$7/IF(H27=0,I27,IF(I27&gt;H27,H27,I27)),0)*IF(H27=0,I27,IF(I27&gt;H27,H27,I27)))</f>
        <v>15968</v>
      </c>
      <c r="L27" s="3">
        <f t="shared" si="9"/>
        <v>159680</v>
      </c>
      <c r="M27" s="25">
        <f>IF(J27&lt;'Параметры ПФ'!$N$7+0.01,E27*F27*G27,ROUNDDOWN('Параметры ПФ'!$N$7/IF(H27=0,I27,IF(I27&gt;H27,H27,I27)),0)*G27)</f>
        <v>640</v>
      </c>
      <c r="N27" s="19">
        <f t="shared" si="10"/>
        <v>0</v>
      </c>
      <c r="O27" s="95" t="b">
        <f t="shared" si="1"/>
        <v>1</v>
      </c>
      <c r="P27" s="96">
        <f t="shared" si="2"/>
        <v>144</v>
      </c>
    </row>
    <row r="28" spans="1:16" ht="31.5" x14ac:dyDescent="0.25">
      <c r="A28" s="2" t="s">
        <v>98</v>
      </c>
      <c r="B28" s="118" t="s">
        <v>113</v>
      </c>
      <c r="C28" s="2" t="s">
        <v>18</v>
      </c>
      <c r="D28" s="16">
        <v>36</v>
      </c>
      <c r="E28" s="16">
        <v>20</v>
      </c>
      <c r="F28" s="17">
        <v>4</v>
      </c>
      <c r="G28" s="17">
        <v>10</v>
      </c>
      <c r="H28" s="122" cm="1">
        <f t="array" ref="H28">INDEX('Нормативные затраты по МЗ'!$C$2:$C$7,MATCH(A28&amp;C28,'Нормативные затраты по МЗ'!$A$2:$A$7&amp;'Нормативные затраты по МЗ'!$B$2:$B$7,0))</f>
        <v>234.7</v>
      </c>
      <c r="I28" s="3">
        <f>HLOOKUP($C28,'Параметры ПФ'!$F$3:$K$10,8,FALSE)</f>
        <v>243.64</v>
      </c>
      <c r="J28" s="3">
        <f t="shared" si="8"/>
        <v>18776</v>
      </c>
      <c r="K28" s="4">
        <f>IF(J28&lt;'Параметры ПФ'!$N$7+0.01,'Стандартные программы'!J28,ROUNDDOWN('Параметры ПФ'!$N$7/IF(H28=0,I28,IF(I28&gt;H28,H28,I28)),0)*IF(H28=0,I28,IF(I28&gt;H28,H28,I28)))</f>
        <v>18776</v>
      </c>
      <c r="L28" s="3">
        <f t="shared" si="9"/>
        <v>187760</v>
      </c>
      <c r="M28" s="25">
        <f>IF(J28&lt;'Параметры ПФ'!$N$7+0.01,E28*F28*G28,ROUNDDOWN('Параметры ПФ'!$N$7/IF(H28=0,I28,IF(I28&gt;H28,H28,I28)),0)*G28)</f>
        <v>800</v>
      </c>
      <c r="N28" s="19">
        <f t="shared" si="10"/>
        <v>0</v>
      </c>
      <c r="O28" s="95" t="b">
        <f t="shared" si="1"/>
        <v>1</v>
      </c>
      <c r="P28" s="96">
        <f t="shared" si="2"/>
        <v>144</v>
      </c>
    </row>
    <row r="29" spans="1:16" ht="31.5" x14ac:dyDescent="0.25">
      <c r="A29" s="2" t="s">
        <v>98</v>
      </c>
      <c r="B29" s="118" t="s">
        <v>113</v>
      </c>
      <c r="C29" s="2" t="s">
        <v>18</v>
      </c>
      <c r="D29" s="16">
        <v>36</v>
      </c>
      <c r="E29" s="16">
        <v>16</v>
      </c>
      <c r="F29" s="17">
        <v>4</v>
      </c>
      <c r="G29" s="17">
        <v>10</v>
      </c>
      <c r="H29" s="122" cm="1">
        <f t="array" ref="H29">INDEX('Нормативные затраты по МЗ'!$C$2:$C$7,MATCH(A29&amp;C29,'Нормативные затраты по МЗ'!$A$2:$A$7&amp;'Нормативные затраты по МЗ'!$B$2:$B$7,0))</f>
        <v>234.7</v>
      </c>
      <c r="I29" s="3">
        <f>HLOOKUP($C29,'Параметры ПФ'!$F$3:$K$10,8,FALSE)</f>
        <v>243.64</v>
      </c>
      <c r="J29" s="3">
        <f t="shared" si="8"/>
        <v>15020.8</v>
      </c>
      <c r="K29" s="4">
        <f>IF(J29&lt;'Параметры ПФ'!$N$7+0.01,'Стандартные программы'!J29,ROUNDDOWN('Параметры ПФ'!$N$7/IF(H29=0,I29,IF(I29&gt;H29,H29,I29)),0)*IF(H29=0,I29,IF(I29&gt;H29,H29,I29)))</f>
        <v>15020.8</v>
      </c>
      <c r="L29" s="3">
        <f t="shared" si="9"/>
        <v>150208</v>
      </c>
      <c r="M29" s="25">
        <f>IF(J29&lt;'Параметры ПФ'!$N$7+0.01,E29*F29*G29,ROUNDDOWN('Параметры ПФ'!$N$7/IF(H29=0,I29,IF(I29&gt;H29,H29,I29)),0)*G29)</f>
        <v>640</v>
      </c>
      <c r="N29" s="19">
        <f t="shared" si="10"/>
        <v>0</v>
      </c>
      <c r="O29" s="95" t="b">
        <f t="shared" si="1"/>
        <v>1</v>
      </c>
      <c r="P29" s="96">
        <f t="shared" si="2"/>
        <v>144</v>
      </c>
    </row>
    <row r="30" spans="1:16" ht="31.5" x14ac:dyDescent="0.25">
      <c r="A30" s="2" t="s">
        <v>98</v>
      </c>
      <c r="B30" s="118" t="s">
        <v>114</v>
      </c>
      <c r="C30" s="2" t="s">
        <v>18</v>
      </c>
      <c r="D30" s="16">
        <v>36</v>
      </c>
      <c r="E30" s="16">
        <v>20</v>
      </c>
      <c r="F30" s="17">
        <v>4</v>
      </c>
      <c r="G30" s="17">
        <v>0</v>
      </c>
      <c r="H30" s="122" cm="1">
        <f t="array" ref="H30">INDEX('Нормативные затраты по МЗ'!$C$2:$C$7,MATCH(A30&amp;C30,'Нормативные затраты по МЗ'!$A$2:$A$7&amp;'Нормативные затраты по МЗ'!$B$2:$B$7,0))</f>
        <v>234.7</v>
      </c>
      <c r="I30" s="3">
        <f>HLOOKUP($C30,'Параметры ПФ'!$F$3:$K$10,8,FALSE)</f>
        <v>243.64</v>
      </c>
      <c r="J30" s="3">
        <f t="shared" si="8"/>
        <v>18776</v>
      </c>
      <c r="K30" s="4">
        <f>IF(J30&lt;'Параметры ПФ'!$N$7+0.01,'Стандартные программы'!J30,ROUNDDOWN('Параметры ПФ'!$N$7/IF(H30=0,I30,IF(I30&gt;H30,H30,I30)),0)*IF(H30=0,I30,IF(I30&gt;H30,H30,I30)))</f>
        <v>18776</v>
      </c>
      <c r="L30" s="3">
        <f t="shared" si="9"/>
        <v>0</v>
      </c>
      <c r="M30" s="25">
        <f>IF(J30&lt;'Параметры ПФ'!$N$7+0.01,E30*F30*G30,ROUNDDOWN('Параметры ПФ'!$N$7/IF(H30=0,I30,IF(I30&gt;H30,H30,I30)),0)*G30)</f>
        <v>0</v>
      </c>
      <c r="N30" s="19">
        <f t="shared" si="10"/>
        <v>0</v>
      </c>
      <c r="O30" s="95" t="b">
        <f t="shared" si="1"/>
        <v>1</v>
      </c>
      <c r="P30" s="96">
        <f t="shared" si="2"/>
        <v>144</v>
      </c>
    </row>
    <row r="31" spans="1:16" x14ac:dyDescent="0.25">
      <c r="A31" s="2" t="s">
        <v>98</v>
      </c>
      <c r="B31" s="118" t="s">
        <v>115</v>
      </c>
      <c r="C31" s="2" t="s">
        <v>18</v>
      </c>
      <c r="D31" s="16">
        <v>36</v>
      </c>
      <c r="E31" s="16">
        <v>16</v>
      </c>
      <c r="F31" s="17">
        <v>4</v>
      </c>
      <c r="G31" s="17">
        <v>0</v>
      </c>
      <c r="H31" s="122" cm="1">
        <f t="array" ref="H31">INDEX('Нормативные затраты по МЗ'!$C$2:$C$7,MATCH(A31&amp;C31,'Нормативные затраты по МЗ'!$A$2:$A$7&amp;'Нормативные затраты по МЗ'!$B$2:$B$7,0))</f>
        <v>234.7</v>
      </c>
      <c r="I31" s="3">
        <f>HLOOKUP($C31,'Параметры ПФ'!$F$3:$K$10,8,FALSE)</f>
        <v>243.64</v>
      </c>
      <c r="J31" s="3">
        <f t="shared" si="8"/>
        <v>15020.8</v>
      </c>
      <c r="K31" s="4">
        <f>IF(J31&lt;'Параметры ПФ'!$N$7+0.01,'Стандартные программы'!J31,ROUNDDOWN('Параметры ПФ'!$N$7/IF(H31=0,I31,IF(I31&gt;H31,H31,I31)),0)*IF(H31=0,I31,IF(I31&gt;H31,H31,I31)))</f>
        <v>15020.8</v>
      </c>
      <c r="L31" s="3">
        <f t="shared" si="9"/>
        <v>0</v>
      </c>
      <c r="M31" s="25">
        <f>IF(J31&lt;'Параметры ПФ'!$N$7+0.01,E31*F31*G31,ROUNDDOWN('Параметры ПФ'!$N$7/IF(H31=0,I31,IF(I31&gt;H31,H31,I31)),0)*G31)</f>
        <v>0</v>
      </c>
      <c r="N31" s="19">
        <f t="shared" si="10"/>
        <v>0</v>
      </c>
      <c r="O31" s="95" t="b">
        <f t="shared" si="1"/>
        <v>1</v>
      </c>
      <c r="P31" s="96">
        <f t="shared" si="2"/>
        <v>144</v>
      </c>
    </row>
    <row r="32" spans="1:16" x14ac:dyDescent="0.25">
      <c r="A32" s="2" t="s">
        <v>98</v>
      </c>
      <c r="B32" s="118" t="s">
        <v>116</v>
      </c>
      <c r="C32" s="2" t="s">
        <v>18</v>
      </c>
      <c r="D32" s="16">
        <v>36</v>
      </c>
      <c r="E32" s="16">
        <v>20</v>
      </c>
      <c r="F32" s="17">
        <v>4</v>
      </c>
      <c r="G32" s="17">
        <v>16</v>
      </c>
      <c r="H32" s="122" cm="1">
        <f t="array" ref="H32">INDEX('Нормативные затраты по МЗ'!$C$2:$C$7,MATCH(A32&amp;C32,'Нормативные затраты по МЗ'!$A$2:$A$7&amp;'Нормативные затраты по МЗ'!$B$2:$B$7,0))</f>
        <v>234.7</v>
      </c>
      <c r="I32" s="3">
        <f>HLOOKUP($C32,'Параметры ПФ'!$F$3:$K$10,8,FALSE)</f>
        <v>243.64</v>
      </c>
      <c r="J32" s="3">
        <f t="shared" si="8"/>
        <v>18776</v>
      </c>
      <c r="K32" s="4">
        <f>IF(J32&lt;'Параметры ПФ'!$N$7+0.01,'Стандартные программы'!J32,ROUNDDOWN('Параметры ПФ'!$N$7/IF(H32=0,I32,IF(I32&gt;H32,H32,I32)),0)*IF(H32=0,I32,IF(I32&gt;H32,H32,I32)))</f>
        <v>18776</v>
      </c>
      <c r="L32" s="3">
        <f t="shared" si="9"/>
        <v>300416</v>
      </c>
      <c r="M32" s="25">
        <f>IF(J32&lt;'Параметры ПФ'!$N$7+0.01,E32*F32*G32,ROUNDDOWN('Параметры ПФ'!$N$7/IF(H32=0,I32,IF(I32&gt;H32,H32,I32)),0)*G32)</f>
        <v>1280</v>
      </c>
      <c r="N32" s="19">
        <f t="shared" si="10"/>
        <v>0</v>
      </c>
      <c r="O32" s="95" t="b">
        <f t="shared" si="1"/>
        <v>1</v>
      </c>
      <c r="P32" s="96">
        <f t="shared" si="2"/>
        <v>144</v>
      </c>
    </row>
    <row r="33" spans="1:16" x14ac:dyDescent="0.25">
      <c r="A33" s="2" t="s">
        <v>98</v>
      </c>
      <c r="B33" s="118" t="s">
        <v>116</v>
      </c>
      <c r="C33" s="2" t="s">
        <v>18</v>
      </c>
      <c r="D33" s="16">
        <v>36</v>
      </c>
      <c r="E33" s="16">
        <v>16</v>
      </c>
      <c r="F33" s="17">
        <v>4</v>
      </c>
      <c r="G33" s="17">
        <v>16</v>
      </c>
      <c r="H33" s="122" cm="1">
        <f t="array" ref="H33">INDEX('Нормативные затраты по МЗ'!$C$2:$C$7,MATCH(A33&amp;C33,'Нормативные затраты по МЗ'!$A$2:$A$7&amp;'Нормативные затраты по МЗ'!$B$2:$B$7,0))</f>
        <v>234.7</v>
      </c>
      <c r="I33" s="3">
        <f>HLOOKUP($C33,'Параметры ПФ'!$F$3:$K$10,8,FALSE)</f>
        <v>243.64</v>
      </c>
      <c r="J33" s="3">
        <f t="shared" si="8"/>
        <v>15020.8</v>
      </c>
      <c r="K33" s="4">
        <f>IF(J33&lt;'Параметры ПФ'!$N$7+0.01,'Стандартные программы'!J33,ROUNDDOWN('Параметры ПФ'!$N$7/IF(H33=0,I33,IF(I33&gt;H33,H33,I33)),0)*IF(H33=0,I33,IF(I33&gt;H33,H33,I33)))</f>
        <v>15020.8</v>
      </c>
      <c r="L33" s="3">
        <f t="shared" si="9"/>
        <v>240332.79999999999</v>
      </c>
      <c r="M33" s="25">
        <f>IF(J33&lt;'Параметры ПФ'!$N$7+0.01,E33*F33*G33,ROUNDDOWN('Параметры ПФ'!$N$7/IF(H33=0,I33,IF(I33&gt;H33,H33,I33)),0)*G33)</f>
        <v>1024</v>
      </c>
      <c r="N33" s="19">
        <f t="shared" si="10"/>
        <v>0</v>
      </c>
      <c r="O33" s="95" t="b">
        <f t="shared" si="1"/>
        <v>1</v>
      </c>
      <c r="P33" s="96">
        <f t="shared" si="2"/>
        <v>144</v>
      </c>
    </row>
    <row r="34" spans="1:16" ht="47.25" x14ac:dyDescent="0.25">
      <c r="A34" s="2" t="s">
        <v>98</v>
      </c>
      <c r="B34" s="118" t="s">
        <v>117</v>
      </c>
      <c r="C34" s="2" t="s">
        <v>18</v>
      </c>
      <c r="D34" s="16">
        <v>36</v>
      </c>
      <c r="E34" s="16">
        <v>20</v>
      </c>
      <c r="F34" s="17">
        <v>4</v>
      </c>
      <c r="G34" s="17">
        <v>48</v>
      </c>
      <c r="H34" s="122" cm="1">
        <f t="array" ref="H34">INDEX('Нормативные затраты по МЗ'!$C$2:$C$7,MATCH(A34&amp;C34,'Нормативные затраты по МЗ'!$A$2:$A$7&amp;'Нормативные затраты по МЗ'!$B$2:$B$7,0))</f>
        <v>234.7</v>
      </c>
      <c r="I34" s="3">
        <f>HLOOKUP($C34,'Параметры ПФ'!$F$3:$K$10,8,FALSE)</f>
        <v>243.64</v>
      </c>
      <c r="J34" s="3">
        <f t="shared" si="8"/>
        <v>18776</v>
      </c>
      <c r="K34" s="4">
        <f>IF(J34&lt;'Параметры ПФ'!$N$7+0.01,'Стандартные программы'!J34,ROUNDDOWN('Параметры ПФ'!$N$7/IF(H34=0,I34,IF(I34&gt;H34,H34,I34)),0)*IF(H34=0,I34,IF(I34&gt;H34,H34,I34)))</f>
        <v>18776</v>
      </c>
      <c r="L34" s="3">
        <f t="shared" si="9"/>
        <v>901248</v>
      </c>
      <c r="M34" s="25">
        <f>IF(J34&lt;'Параметры ПФ'!$N$7+0.01,E34*F34*G34,ROUNDDOWN('Параметры ПФ'!$N$7/IF(H34=0,I34,IF(I34&gt;H34,H34,I34)),0)*G34)</f>
        <v>3840</v>
      </c>
      <c r="N34" s="19">
        <f t="shared" si="10"/>
        <v>0</v>
      </c>
      <c r="O34" s="95" t="b">
        <f t="shared" si="1"/>
        <v>1</v>
      </c>
      <c r="P34" s="96">
        <f t="shared" si="2"/>
        <v>144</v>
      </c>
    </row>
    <row r="35" spans="1:16" ht="47.25" x14ac:dyDescent="0.25">
      <c r="A35" s="2" t="s">
        <v>98</v>
      </c>
      <c r="B35" s="118" t="s">
        <v>117</v>
      </c>
      <c r="C35" s="2" t="s">
        <v>18</v>
      </c>
      <c r="D35" s="16">
        <v>36</v>
      </c>
      <c r="E35" s="16">
        <v>16</v>
      </c>
      <c r="F35" s="17">
        <v>4</v>
      </c>
      <c r="G35" s="17">
        <v>40</v>
      </c>
      <c r="H35" s="122" cm="1">
        <f t="array" ref="H35">INDEX('Нормативные затраты по МЗ'!$C$2:$C$7,MATCH(A35&amp;C35,'Нормативные затраты по МЗ'!$A$2:$A$7&amp;'Нормативные затраты по МЗ'!$B$2:$B$7,0))</f>
        <v>234.7</v>
      </c>
      <c r="I35" s="3">
        <f>HLOOKUP($C35,'Параметры ПФ'!$F$3:$K$10,8,FALSE)</f>
        <v>243.64</v>
      </c>
      <c r="J35" s="3">
        <f t="shared" si="8"/>
        <v>15020.8</v>
      </c>
      <c r="K35" s="4">
        <f>IF(J35&lt;'Параметры ПФ'!$N$7+0.01,'Стандартные программы'!J35,ROUNDDOWN('Параметры ПФ'!$N$7/IF(H35=0,I35,IF(I35&gt;H35,H35,I35)),0)*IF(H35=0,I35,IF(I35&gt;H35,H35,I35)))</f>
        <v>15020.8</v>
      </c>
      <c r="L35" s="3">
        <f t="shared" si="9"/>
        <v>600832</v>
      </c>
      <c r="M35" s="25">
        <f>IF(J35&lt;'Параметры ПФ'!$N$7+0.01,E35*F35*G35,ROUNDDOWN('Параметры ПФ'!$N$7/IF(H35=0,I35,IF(I35&gt;H35,H35,I35)),0)*G35)</f>
        <v>2560</v>
      </c>
      <c r="N35" s="19">
        <f t="shared" si="10"/>
        <v>0</v>
      </c>
      <c r="O35" s="95" t="b">
        <f t="shared" si="1"/>
        <v>1</v>
      </c>
      <c r="P35" s="96">
        <f t="shared" si="2"/>
        <v>144</v>
      </c>
    </row>
    <row r="36" spans="1:16" x14ac:dyDescent="0.25">
      <c r="A36" s="2" t="s">
        <v>98</v>
      </c>
      <c r="B36" s="118" t="s">
        <v>118</v>
      </c>
      <c r="C36" s="2" t="s">
        <v>18</v>
      </c>
      <c r="D36" s="16">
        <v>36</v>
      </c>
      <c r="E36" s="16">
        <v>20</v>
      </c>
      <c r="F36" s="17">
        <v>4</v>
      </c>
      <c r="G36" s="17">
        <v>0</v>
      </c>
      <c r="H36" s="122" cm="1">
        <f t="array" ref="H36">INDEX('Нормативные затраты по МЗ'!$C$2:$C$7,MATCH(A36&amp;C36,'Нормативные затраты по МЗ'!$A$2:$A$7&amp;'Нормативные затраты по МЗ'!$B$2:$B$7,0))</f>
        <v>234.7</v>
      </c>
      <c r="I36" s="3">
        <f>HLOOKUP($C36,'Параметры ПФ'!$F$3:$K$10,8,FALSE)</f>
        <v>243.64</v>
      </c>
      <c r="J36" s="3">
        <f t="shared" si="8"/>
        <v>18776</v>
      </c>
      <c r="K36" s="4">
        <f>IF(J36&lt;'Параметры ПФ'!$N$7+0.01,'Стандартные программы'!J36,ROUNDDOWN('Параметры ПФ'!$N$7/IF(H36=0,I36,IF(I36&gt;H36,H36,I36)),0)*IF(H36=0,I36,IF(I36&gt;H36,H36,I36)))</f>
        <v>18776</v>
      </c>
      <c r="L36" s="3">
        <f t="shared" si="9"/>
        <v>0</v>
      </c>
      <c r="M36" s="25">
        <f>IF(J36&lt;'Параметры ПФ'!$N$7+0.01,E36*F36*G36,ROUNDDOWN('Параметры ПФ'!$N$7/IF(H36=0,I36,IF(I36&gt;H36,H36,I36)),0)*G36)</f>
        <v>0</v>
      </c>
      <c r="N36" s="19">
        <f t="shared" si="10"/>
        <v>0</v>
      </c>
      <c r="O36" s="95" t="b">
        <f t="shared" si="1"/>
        <v>1</v>
      </c>
      <c r="P36" s="96">
        <f t="shared" si="2"/>
        <v>144</v>
      </c>
    </row>
    <row r="37" spans="1:16" x14ac:dyDescent="0.25">
      <c r="A37" s="2" t="s">
        <v>98</v>
      </c>
      <c r="B37" s="118" t="s">
        <v>118</v>
      </c>
      <c r="C37" s="2" t="s">
        <v>18</v>
      </c>
      <c r="D37" s="16">
        <v>36</v>
      </c>
      <c r="E37" s="16">
        <v>16</v>
      </c>
      <c r="F37" s="17">
        <v>4</v>
      </c>
      <c r="G37" s="17">
        <v>0</v>
      </c>
      <c r="H37" s="122" cm="1">
        <f t="array" ref="H37">INDEX('Нормативные затраты по МЗ'!$C$2:$C$7,MATCH(A37&amp;C37,'Нормативные затраты по МЗ'!$A$2:$A$7&amp;'Нормативные затраты по МЗ'!$B$2:$B$7,0))</f>
        <v>234.7</v>
      </c>
      <c r="I37" s="3">
        <f>HLOOKUP($C37,'Параметры ПФ'!$F$3:$K$10,8,FALSE)</f>
        <v>243.64</v>
      </c>
      <c r="J37" s="3">
        <f t="shared" si="8"/>
        <v>15020.8</v>
      </c>
      <c r="K37" s="4">
        <f>IF(J37&lt;'Параметры ПФ'!$N$7+0.01,'Стандартные программы'!J37,ROUNDDOWN('Параметры ПФ'!$N$7/IF(H37=0,I37,IF(I37&gt;H37,H37,I37)),0)*IF(H37=0,I37,IF(I37&gt;H37,H37,I37)))</f>
        <v>15020.8</v>
      </c>
      <c r="L37" s="3">
        <f t="shared" si="9"/>
        <v>0</v>
      </c>
      <c r="M37" s="25">
        <f>IF(J37&lt;'Параметры ПФ'!$N$7+0.01,E37*F37*G37,ROUNDDOWN('Параметры ПФ'!$N$7/IF(H37=0,I37,IF(I37&gt;H37,H37,I37)),0)*G37)</f>
        <v>0</v>
      </c>
      <c r="N37" s="19">
        <f t="shared" si="10"/>
        <v>0</v>
      </c>
      <c r="O37" s="95" t="b">
        <f t="shared" si="1"/>
        <v>1</v>
      </c>
      <c r="P37" s="96">
        <f t="shared" si="2"/>
        <v>144</v>
      </c>
    </row>
    <row r="38" spans="1:16" x14ac:dyDescent="0.25">
      <c r="A38" s="2" t="s">
        <v>98</v>
      </c>
      <c r="B38" s="118" t="s">
        <v>119</v>
      </c>
      <c r="C38" s="2" t="s">
        <v>18</v>
      </c>
      <c r="D38" s="16">
        <v>36</v>
      </c>
      <c r="E38" s="16">
        <v>20</v>
      </c>
      <c r="F38" s="17">
        <v>4</v>
      </c>
      <c r="G38" s="17">
        <v>8</v>
      </c>
      <c r="H38" s="122" cm="1">
        <f t="array" ref="H38">INDEX('Нормативные затраты по МЗ'!$C$2:$C$7,MATCH(A38&amp;C38,'Нормативные затраты по МЗ'!$A$2:$A$7&amp;'Нормативные затраты по МЗ'!$B$2:$B$7,0))</f>
        <v>234.7</v>
      </c>
      <c r="I38" s="3">
        <f>HLOOKUP($C38,'Параметры ПФ'!$F$3:$K$10,8,FALSE)</f>
        <v>243.64</v>
      </c>
      <c r="J38" s="3">
        <f t="shared" si="8"/>
        <v>18776</v>
      </c>
      <c r="K38" s="4">
        <f>IF(J38&lt;'Параметры ПФ'!$N$7+0.01,'Стандартные программы'!J38,ROUNDDOWN('Параметры ПФ'!$N$7/IF(H38=0,I38,IF(I38&gt;H38,H38,I38)),0)*IF(H38=0,I38,IF(I38&gt;H38,H38,I38)))</f>
        <v>18776</v>
      </c>
      <c r="L38" s="3">
        <f t="shared" si="9"/>
        <v>150208</v>
      </c>
      <c r="M38" s="25">
        <f>IF(J38&lt;'Параметры ПФ'!$N$7+0.01,E38*F38*G38,ROUNDDOWN('Параметры ПФ'!$N$7/IF(H38=0,I38,IF(I38&gt;H38,H38,I38)),0)*G38)</f>
        <v>640</v>
      </c>
      <c r="N38" s="19">
        <f t="shared" si="10"/>
        <v>0</v>
      </c>
      <c r="O38" s="95" t="b">
        <f t="shared" si="1"/>
        <v>1</v>
      </c>
      <c r="P38" s="96">
        <f t="shared" si="2"/>
        <v>144</v>
      </c>
    </row>
    <row r="39" spans="1:16" x14ac:dyDescent="0.25">
      <c r="A39" s="2" t="s">
        <v>98</v>
      </c>
      <c r="B39" s="118" t="s">
        <v>119</v>
      </c>
      <c r="C39" s="2" t="s">
        <v>18</v>
      </c>
      <c r="D39" s="16">
        <v>36</v>
      </c>
      <c r="E39" s="16">
        <v>16</v>
      </c>
      <c r="F39" s="17">
        <v>4</v>
      </c>
      <c r="G39" s="17">
        <v>8</v>
      </c>
      <c r="H39" s="122" cm="1">
        <f t="array" ref="H39">INDEX('Нормативные затраты по МЗ'!$C$2:$C$7,MATCH(A39&amp;C39,'Нормативные затраты по МЗ'!$A$2:$A$7&amp;'Нормативные затраты по МЗ'!$B$2:$B$7,0))</f>
        <v>234.7</v>
      </c>
      <c r="I39" s="3">
        <f>HLOOKUP($C39,'Параметры ПФ'!$F$3:$K$10,8,FALSE)</f>
        <v>243.64</v>
      </c>
      <c r="J39" s="3">
        <f t="shared" si="8"/>
        <v>15020.8</v>
      </c>
      <c r="K39" s="4">
        <f>IF(J39&lt;'Параметры ПФ'!$N$7+0.01,'Стандартные программы'!J39,ROUNDDOWN('Параметры ПФ'!$N$7/IF(H39=0,I39,IF(I39&gt;H39,H39,I39)),0)*IF(H39=0,I39,IF(I39&gt;H39,H39,I39)))</f>
        <v>15020.8</v>
      </c>
      <c r="L39" s="3">
        <f t="shared" si="9"/>
        <v>120166.39999999999</v>
      </c>
      <c r="M39" s="25">
        <f>IF(J39&lt;'Параметры ПФ'!$N$7+0.01,E39*F39*G39,ROUNDDOWN('Параметры ПФ'!$N$7/IF(H39=0,I39,IF(I39&gt;H39,H39,I39)),0)*G39)</f>
        <v>512</v>
      </c>
      <c r="N39" s="19">
        <f t="shared" si="10"/>
        <v>0</v>
      </c>
      <c r="O39" s="95" t="b">
        <f t="shared" si="1"/>
        <v>1</v>
      </c>
      <c r="P39" s="96">
        <f t="shared" si="2"/>
        <v>144</v>
      </c>
    </row>
    <row r="40" spans="1:16" ht="31.5" x14ac:dyDescent="0.25">
      <c r="A40" s="2" t="s">
        <v>98</v>
      </c>
      <c r="B40" s="118" t="s">
        <v>120</v>
      </c>
      <c r="C40" s="2" t="s">
        <v>18</v>
      </c>
      <c r="D40" s="16">
        <v>36</v>
      </c>
      <c r="E40" s="16">
        <v>20</v>
      </c>
      <c r="F40" s="17">
        <v>4</v>
      </c>
      <c r="G40" s="17">
        <v>10</v>
      </c>
      <c r="H40" s="122" cm="1">
        <f t="array" ref="H40">INDEX('Нормативные затраты по МЗ'!$C$2:$C$7,MATCH(A40&amp;C40,'Нормативные затраты по МЗ'!$A$2:$A$7&amp;'Нормативные затраты по МЗ'!$B$2:$B$7,0))</f>
        <v>234.7</v>
      </c>
      <c r="I40" s="3">
        <f>HLOOKUP($C40,'Параметры ПФ'!$F$3:$K$10,8,FALSE)</f>
        <v>243.64</v>
      </c>
      <c r="J40" s="3">
        <f t="shared" si="8"/>
        <v>18776</v>
      </c>
      <c r="K40" s="4">
        <f>IF(J40&lt;'Параметры ПФ'!$N$7+0.01,'Стандартные программы'!J40,ROUNDDOWN('Параметры ПФ'!$N$7/IF(H40=0,I40,IF(I40&gt;H40,H40,I40)),0)*IF(H40=0,I40,IF(I40&gt;H40,H40,I40)))</f>
        <v>18776</v>
      </c>
      <c r="L40" s="3">
        <f t="shared" si="9"/>
        <v>187760</v>
      </c>
      <c r="M40" s="25">
        <f>IF(J40&lt;'Параметры ПФ'!$N$7+0.01,E40*F40*G40,ROUNDDOWN('Параметры ПФ'!$N$7/IF(H40=0,I40,IF(I40&gt;H40,H40,I40)),0)*G40)</f>
        <v>800</v>
      </c>
      <c r="N40" s="19">
        <f t="shared" si="10"/>
        <v>0</v>
      </c>
      <c r="O40" s="95" t="b">
        <f t="shared" si="1"/>
        <v>1</v>
      </c>
      <c r="P40" s="96">
        <f t="shared" si="2"/>
        <v>144</v>
      </c>
    </row>
    <row r="41" spans="1:16" ht="31.5" x14ac:dyDescent="0.25">
      <c r="A41" s="2" t="s">
        <v>98</v>
      </c>
      <c r="B41" s="118" t="s">
        <v>120</v>
      </c>
      <c r="C41" s="2" t="s">
        <v>18</v>
      </c>
      <c r="D41" s="16">
        <v>36</v>
      </c>
      <c r="E41" s="16">
        <v>16</v>
      </c>
      <c r="F41" s="17">
        <v>4</v>
      </c>
      <c r="G41" s="17">
        <v>10</v>
      </c>
      <c r="H41" s="122" cm="1">
        <f t="array" ref="H41">INDEX('Нормативные затраты по МЗ'!$C$2:$C$7,MATCH(A41&amp;C41,'Нормативные затраты по МЗ'!$A$2:$A$7&amp;'Нормативные затраты по МЗ'!$B$2:$B$7,0))</f>
        <v>234.7</v>
      </c>
      <c r="I41" s="3">
        <f>HLOOKUP($C41,'Параметры ПФ'!$F$3:$K$10,8,FALSE)</f>
        <v>243.64</v>
      </c>
      <c r="J41" s="3">
        <f t="shared" si="8"/>
        <v>15020.8</v>
      </c>
      <c r="K41" s="4">
        <f>IF(J41&lt;'Параметры ПФ'!$N$7+0.01,'Стандартные программы'!J41,ROUNDDOWN('Параметры ПФ'!$N$7/IF(H41=0,I41,IF(I41&gt;H41,H41,I41)),0)*IF(H41=0,I41,IF(I41&gt;H41,H41,I41)))</f>
        <v>15020.8</v>
      </c>
      <c r="L41" s="3">
        <f t="shared" si="9"/>
        <v>150208</v>
      </c>
      <c r="M41" s="25">
        <f>IF(J41&lt;'Параметры ПФ'!$N$7+0.01,E41*F41*G41,ROUNDDOWN('Параметры ПФ'!$N$7/IF(H41=0,I41,IF(I41&gt;H41,H41,I41)),0)*G41)</f>
        <v>640</v>
      </c>
      <c r="N41" s="19">
        <f t="shared" si="10"/>
        <v>0</v>
      </c>
      <c r="O41" s="95" t="b">
        <f t="shared" si="1"/>
        <v>1</v>
      </c>
      <c r="P41" s="96">
        <f t="shared" si="2"/>
        <v>144</v>
      </c>
    </row>
    <row r="42" spans="1:16" x14ac:dyDescent="0.25">
      <c r="A42" s="2" t="s">
        <v>98</v>
      </c>
      <c r="B42" s="118" t="s">
        <v>121</v>
      </c>
      <c r="C42" s="2" t="s">
        <v>18</v>
      </c>
      <c r="D42" s="16">
        <v>36</v>
      </c>
      <c r="E42" s="16">
        <v>20</v>
      </c>
      <c r="F42" s="17">
        <v>4</v>
      </c>
      <c r="G42" s="17">
        <v>0</v>
      </c>
      <c r="H42" s="122" cm="1">
        <f t="array" ref="H42">INDEX('Нормативные затраты по МЗ'!$C$2:$C$7,MATCH(A42&amp;C42,'Нормативные затраты по МЗ'!$A$2:$A$7&amp;'Нормативные затраты по МЗ'!$B$2:$B$7,0))</f>
        <v>234.7</v>
      </c>
      <c r="I42" s="3">
        <f>HLOOKUP($C42,'Параметры ПФ'!$F$3:$K$10,8,FALSE)</f>
        <v>243.64</v>
      </c>
      <c r="J42" s="3">
        <f t="shared" si="8"/>
        <v>18776</v>
      </c>
      <c r="K42" s="4">
        <f>IF(J42&lt;'Параметры ПФ'!$N$7+0.01,'Стандартные программы'!J42,ROUNDDOWN('Параметры ПФ'!$N$7/IF(H42=0,I42,IF(I42&gt;H42,H42,I42)),0)*IF(H42=0,I42,IF(I42&gt;H42,H42,I42)))</f>
        <v>18776</v>
      </c>
      <c r="L42" s="3">
        <f t="shared" si="9"/>
        <v>0</v>
      </c>
      <c r="M42" s="25">
        <f>IF(J42&lt;'Параметры ПФ'!$N$7+0.01,E42*F42*G42,ROUNDDOWN('Параметры ПФ'!$N$7/IF(H42=0,I42,IF(I42&gt;H42,H42,I42)),0)*G42)</f>
        <v>0</v>
      </c>
      <c r="N42" s="19">
        <f t="shared" si="10"/>
        <v>0</v>
      </c>
      <c r="O42" s="95" t="b">
        <f t="shared" si="1"/>
        <v>1</v>
      </c>
      <c r="P42" s="96">
        <f t="shared" si="2"/>
        <v>144</v>
      </c>
    </row>
    <row r="43" spans="1:16" x14ac:dyDescent="0.25">
      <c r="A43" s="2" t="s">
        <v>98</v>
      </c>
      <c r="B43" s="118" t="s">
        <v>121</v>
      </c>
      <c r="C43" s="2" t="s">
        <v>18</v>
      </c>
      <c r="D43" s="16">
        <v>36</v>
      </c>
      <c r="E43" s="16">
        <v>16</v>
      </c>
      <c r="F43" s="17">
        <v>4</v>
      </c>
      <c r="G43" s="17">
        <v>0</v>
      </c>
      <c r="H43" s="122" cm="1">
        <f t="array" ref="H43">INDEX('Нормативные затраты по МЗ'!$C$2:$C$7,MATCH(A43&amp;C43,'Нормативные затраты по МЗ'!$A$2:$A$7&amp;'Нормативные затраты по МЗ'!$B$2:$B$7,0))</f>
        <v>234.7</v>
      </c>
      <c r="I43" s="3">
        <f>HLOOKUP($C43,'Параметры ПФ'!$F$3:$K$10,8,FALSE)</f>
        <v>243.64</v>
      </c>
      <c r="J43" s="3">
        <f t="shared" si="8"/>
        <v>15020.8</v>
      </c>
      <c r="K43" s="4">
        <f>IF(J43&lt;'Параметры ПФ'!$N$7+0.01,'Стандартные программы'!J43,ROUNDDOWN('Параметры ПФ'!$N$7/IF(H43=0,I43,IF(I43&gt;H43,H43,I43)),0)*IF(H43=0,I43,IF(I43&gt;H43,H43,I43)))</f>
        <v>15020.8</v>
      </c>
      <c r="L43" s="3">
        <f t="shared" si="9"/>
        <v>0</v>
      </c>
      <c r="M43" s="25">
        <f>IF(J43&lt;'Параметры ПФ'!$N$7+0.01,E43*F43*G43,ROUNDDOWN('Параметры ПФ'!$N$7/IF(H43=0,I43,IF(I43&gt;H43,H43,I43)),0)*G43)</f>
        <v>0</v>
      </c>
      <c r="N43" s="19">
        <f t="shared" si="10"/>
        <v>0</v>
      </c>
      <c r="O43" s="95" t="b">
        <f t="shared" si="1"/>
        <v>1</v>
      </c>
      <c r="P43" s="96">
        <f t="shared" si="2"/>
        <v>144</v>
      </c>
    </row>
    <row r="44" spans="1:16" x14ac:dyDescent="0.25">
      <c r="A44" s="2" t="s">
        <v>98</v>
      </c>
      <c r="B44" s="118" t="s">
        <v>122</v>
      </c>
      <c r="C44" s="2" t="s">
        <v>2</v>
      </c>
      <c r="D44" s="16">
        <v>36</v>
      </c>
      <c r="E44" s="16">
        <v>20</v>
      </c>
      <c r="F44" s="17">
        <v>4</v>
      </c>
      <c r="G44" s="17">
        <v>20</v>
      </c>
      <c r="H44" s="122" cm="1">
        <f t="array" ref="H44">INDEX('Нормативные затраты по МЗ'!$C$2:$C$7,MATCH(A44&amp;C44,'Нормативные затраты по МЗ'!$A$2:$A$7&amp;'Нормативные затраты по МЗ'!$B$2:$B$7,0))</f>
        <v>242.2</v>
      </c>
      <c r="I44" s="3">
        <f>HLOOKUP($C44,'Параметры ПФ'!$F$3:$K$10,8,FALSE)</f>
        <v>243.39</v>
      </c>
      <c r="J44" s="3">
        <f t="shared" si="8"/>
        <v>19376</v>
      </c>
      <c r="K44" s="4">
        <f>IF(J44&lt;'Параметры ПФ'!$N$7+0.01,'Стандартные программы'!J44,ROUNDDOWN('Параметры ПФ'!$N$7/IF(H44=0,I44,IF(I44&gt;H44,H44,I44)),0)*IF(H44=0,I44,IF(I44&gt;H44,H44,I44)))</f>
        <v>19376</v>
      </c>
      <c r="L44" s="3">
        <f t="shared" si="9"/>
        <v>387520</v>
      </c>
      <c r="M44" s="25">
        <f>IF(J44&lt;'Параметры ПФ'!$N$7+0.01,E44*F44*G44,ROUNDDOWN('Параметры ПФ'!$N$7/IF(H44=0,I44,IF(I44&gt;H44,H44,I44)),0)*G44)</f>
        <v>1600</v>
      </c>
      <c r="N44" s="19">
        <f t="shared" si="10"/>
        <v>0</v>
      </c>
      <c r="O44" s="95" t="b">
        <f t="shared" si="1"/>
        <v>1</v>
      </c>
      <c r="P44" s="96">
        <f t="shared" si="2"/>
        <v>144</v>
      </c>
    </row>
    <row r="45" spans="1:16" x14ac:dyDescent="0.25">
      <c r="A45" s="2" t="s">
        <v>98</v>
      </c>
      <c r="B45" s="118" t="s">
        <v>122</v>
      </c>
      <c r="C45" s="2" t="s">
        <v>2</v>
      </c>
      <c r="D45" s="16">
        <v>36</v>
      </c>
      <c r="E45" s="16">
        <v>16</v>
      </c>
      <c r="F45" s="17">
        <v>4</v>
      </c>
      <c r="G45" s="17">
        <v>20</v>
      </c>
      <c r="H45" s="122" cm="1">
        <f t="array" ref="H45">INDEX('Нормативные затраты по МЗ'!$C$2:$C$7,MATCH(A45&amp;C45,'Нормативные затраты по МЗ'!$A$2:$A$7&amp;'Нормативные затраты по МЗ'!$B$2:$B$7,0))</f>
        <v>242.2</v>
      </c>
      <c r="I45" s="3">
        <f>HLOOKUP($C45,'Параметры ПФ'!$F$3:$K$10,8,FALSE)</f>
        <v>243.39</v>
      </c>
      <c r="J45" s="3">
        <f t="shared" si="8"/>
        <v>15500.8</v>
      </c>
      <c r="K45" s="4">
        <f>IF(J45&lt;'Параметры ПФ'!$N$7+0.01,'Стандартные программы'!J45,ROUNDDOWN('Параметры ПФ'!$N$7/IF(H45=0,I45,IF(I45&gt;H45,H45,I45)),0)*IF(H45=0,I45,IF(I45&gt;H45,H45,I45)))</f>
        <v>15500.8</v>
      </c>
      <c r="L45" s="3">
        <f t="shared" si="9"/>
        <v>310016</v>
      </c>
      <c r="M45" s="25">
        <f>IF(J45&lt;'Параметры ПФ'!$N$7+0.01,E45*F45*G45,ROUNDDOWN('Параметры ПФ'!$N$7/IF(H45=0,I45,IF(I45&gt;H45,H45,I45)),0)*G45)</f>
        <v>1280</v>
      </c>
      <c r="N45" s="19">
        <f t="shared" si="10"/>
        <v>0</v>
      </c>
      <c r="O45" s="95" t="b">
        <f t="shared" si="1"/>
        <v>1</v>
      </c>
      <c r="P45" s="96">
        <f t="shared" si="2"/>
        <v>144</v>
      </c>
    </row>
    <row r="46" spans="1:16" x14ac:dyDescent="0.25">
      <c r="A46" s="2" t="s">
        <v>98</v>
      </c>
      <c r="B46" s="118" t="s">
        <v>123</v>
      </c>
      <c r="C46" s="2" t="s">
        <v>2</v>
      </c>
      <c r="D46" s="16">
        <v>36</v>
      </c>
      <c r="E46" s="16">
        <v>36</v>
      </c>
      <c r="F46" s="17">
        <v>2</v>
      </c>
      <c r="G46" s="17">
        <v>10</v>
      </c>
      <c r="H46" s="122" cm="1">
        <f t="array" ref="H46">INDEX('Нормативные затраты по МЗ'!$C$2:$C$7,MATCH(A46&amp;C46,'Нормативные затраты по МЗ'!$A$2:$A$7&amp;'Нормативные затраты по МЗ'!$B$2:$B$7,0))</f>
        <v>242.2</v>
      </c>
      <c r="I46" s="3">
        <f>HLOOKUP($C46,'Параметры ПФ'!$F$3:$K$10,8,FALSE)</f>
        <v>243.39</v>
      </c>
      <c r="J46" s="3">
        <f t="shared" si="8"/>
        <v>17438.400000000001</v>
      </c>
      <c r="K46" s="4">
        <f>IF(J46&lt;'Параметры ПФ'!$N$7+0.01,'Стандартные программы'!J46,ROUNDDOWN('Параметры ПФ'!$N$7/IF(H46=0,I46,IF(I46&gt;H46,H46,I46)),0)*IF(H46=0,I46,IF(I46&gt;H46,H46,I46)))</f>
        <v>17438.400000000001</v>
      </c>
      <c r="L46" s="3">
        <f t="shared" si="9"/>
        <v>174384</v>
      </c>
      <c r="M46" s="25">
        <f>IF(J46&lt;'Параметры ПФ'!$N$7+0.01,E46*F46*G46,ROUNDDOWN('Параметры ПФ'!$N$7/IF(H46=0,I46,IF(I46&gt;H46,H46,I46)),0)*G46)</f>
        <v>720</v>
      </c>
      <c r="N46" s="19">
        <f t="shared" si="10"/>
        <v>0</v>
      </c>
      <c r="O46" s="95" t="b">
        <f t="shared" si="1"/>
        <v>1</v>
      </c>
      <c r="P46" s="96">
        <f t="shared" si="2"/>
        <v>72</v>
      </c>
    </row>
    <row r="47" spans="1:16" x14ac:dyDescent="0.25">
      <c r="A47" s="2" t="s">
        <v>98</v>
      </c>
      <c r="B47" s="118" t="s">
        <v>124</v>
      </c>
      <c r="C47" s="2" t="s">
        <v>2</v>
      </c>
      <c r="D47" s="16">
        <v>36</v>
      </c>
      <c r="E47" s="16">
        <v>20</v>
      </c>
      <c r="F47" s="17">
        <v>4</v>
      </c>
      <c r="G47" s="17">
        <v>24</v>
      </c>
      <c r="H47" s="122" cm="1">
        <f t="array" ref="H47">INDEX('Нормативные затраты по МЗ'!$C$2:$C$7,MATCH(A47&amp;C47,'Нормативные затраты по МЗ'!$A$2:$A$7&amp;'Нормативные затраты по МЗ'!$B$2:$B$7,0))</f>
        <v>242.2</v>
      </c>
      <c r="I47" s="3">
        <f>HLOOKUP($C47,'Параметры ПФ'!$F$3:$K$10,8,FALSE)</f>
        <v>243.39</v>
      </c>
      <c r="J47" s="3">
        <f t="shared" si="8"/>
        <v>19376</v>
      </c>
      <c r="K47" s="4">
        <f>IF(J47&lt;'Параметры ПФ'!$N$7+0.01,'Стандартные программы'!J47,ROUNDDOWN('Параметры ПФ'!$N$7/IF(H47=0,I47,IF(I47&gt;H47,H47,I47)),0)*IF(H47=0,I47,IF(I47&gt;H47,H47,I47)))</f>
        <v>19376</v>
      </c>
      <c r="L47" s="3">
        <f t="shared" si="9"/>
        <v>465024</v>
      </c>
      <c r="M47" s="25">
        <f>IF(J47&lt;'Параметры ПФ'!$N$7+0.01,E47*F47*G47,ROUNDDOWN('Параметры ПФ'!$N$7/IF(H47=0,I47,IF(I47&gt;H47,H47,I47)),0)*G47)</f>
        <v>1920</v>
      </c>
      <c r="N47" s="19">
        <f t="shared" si="10"/>
        <v>0</v>
      </c>
      <c r="O47" s="95" t="b">
        <f t="shared" si="1"/>
        <v>1</v>
      </c>
      <c r="P47" s="96">
        <f t="shared" si="2"/>
        <v>144</v>
      </c>
    </row>
    <row r="48" spans="1:16" x14ac:dyDescent="0.25">
      <c r="A48" s="2" t="s">
        <v>98</v>
      </c>
      <c r="B48" s="118" t="s">
        <v>124</v>
      </c>
      <c r="C48" s="2" t="s">
        <v>2</v>
      </c>
      <c r="D48" s="16">
        <v>36</v>
      </c>
      <c r="E48" s="16">
        <v>16</v>
      </c>
      <c r="F48" s="17">
        <v>4</v>
      </c>
      <c r="G48" s="17">
        <v>24</v>
      </c>
      <c r="H48" s="122" cm="1">
        <f t="array" ref="H48">INDEX('Нормативные затраты по МЗ'!$C$2:$C$7,MATCH(A48&amp;C48,'Нормативные затраты по МЗ'!$A$2:$A$7&amp;'Нормативные затраты по МЗ'!$B$2:$B$7,0))</f>
        <v>242.2</v>
      </c>
      <c r="I48" s="3">
        <f>HLOOKUP($C48,'Параметры ПФ'!$F$3:$K$10,8,FALSE)</f>
        <v>243.39</v>
      </c>
      <c r="J48" s="3">
        <f t="shared" si="8"/>
        <v>15500.8</v>
      </c>
      <c r="K48" s="4">
        <f>IF(J48&lt;'Параметры ПФ'!$N$7+0.01,'Стандартные программы'!J48,ROUNDDOWN('Параметры ПФ'!$N$7/IF(H48=0,I48,IF(I48&gt;H48,H48,I48)),0)*IF(H48=0,I48,IF(I48&gt;H48,H48,I48)))</f>
        <v>15500.8</v>
      </c>
      <c r="L48" s="3">
        <f t="shared" si="9"/>
        <v>372019.20000000001</v>
      </c>
      <c r="M48" s="25">
        <f>IF(J48&lt;'Параметры ПФ'!$N$7+0.01,E48*F48*G48,ROUNDDOWN('Параметры ПФ'!$N$7/IF(H48=0,I48,IF(I48&gt;H48,H48,I48)),0)*G48)</f>
        <v>1536</v>
      </c>
      <c r="N48" s="19">
        <f t="shared" si="10"/>
        <v>0</v>
      </c>
      <c r="O48" s="95" t="b">
        <f t="shared" si="1"/>
        <v>1</v>
      </c>
      <c r="P48" s="96">
        <f t="shared" si="2"/>
        <v>144</v>
      </c>
    </row>
    <row r="49" spans="1:16" x14ac:dyDescent="0.25">
      <c r="A49" s="2" t="s">
        <v>98</v>
      </c>
      <c r="B49" s="118" t="s">
        <v>125</v>
      </c>
      <c r="C49" s="2" t="s">
        <v>2</v>
      </c>
      <c r="D49" s="16">
        <v>36</v>
      </c>
      <c r="E49" s="16">
        <v>20</v>
      </c>
      <c r="F49" s="17">
        <v>4</v>
      </c>
      <c r="G49" s="17">
        <v>12</v>
      </c>
      <c r="H49" s="122" cm="1">
        <f t="array" ref="H49">INDEX('Нормативные затраты по МЗ'!$C$2:$C$7,MATCH(A49&amp;C49,'Нормативные затраты по МЗ'!$A$2:$A$7&amp;'Нормативные затраты по МЗ'!$B$2:$B$7,0))</f>
        <v>242.2</v>
      </c>
      <c r="I49" s="3">
        <f>HLOOKUP($C49,'Параметры ПФ'!$F$3:$K$10,8,FALSE)</f>
        <v>243.39</v>
      </c>
      <c r="J49" s="3">
        <f t="shared" si="8"/>
        <v>19376</v>
      </c>
      <c r="K49" s="4">
        <f>IF(J49&lt;'Параметры ПФ'!$N$7+0.01,'Стандартные программы'!J49,ROUNDDOWN('Параметры ПФ'!$N$7/IF(H49=0,I49,IF(I49&gt;H49,H49,I49)),0)*IF(H49=0,I49,IF(I49&gt;H49,H49,I49)))</f>
        <v>19376</v>
      </c>
      <c r="L49" s="3">
        <f t="shared" si="9"/>
        <v>232512</v>
      </c>
      <c r="M49" s="25">
        <f>IF(J49&lt;'Параметры ПФ'!$N$7+0.01,E49*F49*G49,ROUNDDOWN('Параметры ПФ'!$N$7/IF(H49=0,I49,IF(I49&gt;H49,H49,I49)),0)*G49)</f>
        <v>960</v>
      </c>
      <c r="N49" s="19">
        <f t="shared" si="10"/>
        <v>0</v>
      </c>
      <c r="O49" s="95" t="b">
        <f t="shared" si="1"/>
        <v>1</v>
      </c>
      <c r="P49" s="96">
        <f t="shared" si="2"/>
        <v>144</v>
      </c>
    </row>
    <row r="50" spans="1:16" x14ac:dyDescent="0.25">
      <c r="A50" s="2" t="s">
        <v>98</v>
      </c>
      <c r="B50" s="118" t="s">
        <v>125</v>
      </c>
      <c r="C50" s="2" t="s">
        <v>2</v>
      </c>
      <c r="D50" s="16">
        <v>36</v>
      </c>
      <c r="E50" s="16">
        <v>16</v>
      </c>
      <c r="F50" s="17">
        <v>4</v>
      </c>
      <c r="G50" s="17">
        <v>12</v>
      </c>
      <c r="H50" s="122" cm="1">
        <f t="array" ref="H50">INDEX('Нормативные затраты по МЗ'!$C$2:$C$7,MATCH(A50&amp;C50,'Нормативные затраты по МЗ'!$A$2:$A$7&amp;'Нормативные затраты по МЗ'!$B$2:$B$7,0))</f>
        <v>242.2</v>
      </c>
      <c r="I50" s="3">
        <f>HLOOKUP($C50,'Параметры ПФ'!$F$3:$K$10,8,FALSE)</f>
        <v>243.39</v>
      </c>
      <c r="J50" s="3">
        <f t="shared" si="8"/>
        <v>15500.8</v>
      </c>
      <c r="K50" s="4">
        <f>IF(J50&lt;'Параметры ПФ'!$N$7+0.01,'Стандартные программы'!J50,ROUNDDOWN('Параметры ПФ'!$N$7/IF(H50=0,I50,IF(I50&gt;H50,H50,I50)),0)*IF(H50=0,I50,IF(I50&gt;H50,H50,I50)))</f>
        <v>15500.8</v>
      </c>
      <c r="L50" s="3">
        <f t="shared" si="9"/>
        <v>186009.60000000001</v>
      </c>
      <c r="M50" s="25">
        <f>IF(J50&lt;'Параметры ПФ'!$N$7+0.01,E50*F50*G50,ROUNDDOWN('Параметры ПФ'!$N$7/IF(H50=0,I50,IF(I50&gt;H50,H50,I50)),0)*G50)</f>
        <v>768</v>
      </c>
      <c r="N50" s="19">
        <f t="shared" si="10"/>
        <v>0</v>
      </c>
      <c r="O50" s="95" t="b">
        <f t="shared" si="1"/>
        <v>1</v>
      </c>
      <c r="P50" s="96">
        <f t="shared" si="2"/>
        <v>144</v>
      </c>
    </row>
    <row r="51" spans="1:16" x14ac:dyDescent="0.25">
      <c r="A51" s="2" t="s">
        <v>98</v>
      </c>
      <c r="B51" s="118" t="s">
        <v>126</v>
      </c>
      <c r="C51" s="2" t="s">
        <v>2</v>
      </c>
      <c r="D51" s="16">
        <v>36</v>
      </c>
      <c r="E51" s="16">
        <v>20</v>
      </c>
      <c r="F51" s="17">
        <v>4</v>
      </c>
      <c r="G51" s="17">
        <v>20</v>
      </c>
      <c r="H51" s="122" cm="1">
        <f t="array" ref="H51">INDEX('Нормативные затраты по МЗ'!$C$2:$C$7,MATCH(A51&amp;C51,'Нормативные затраты по МЗ'!$A$2:$A$7&amp;'Нормативные затраты по МЗ'!$B$2:$B$7,0))</f>
        <v>242.2</v>
      </c>
      <c r="I51" s="3">
        <f>HLOOKUP($C51,'Параметры ПФ'!$F$3:$K$10,8,FALSE)</f>
        <v>243.39</v>
      </c>
      <c r="J51" s="3">
        <f t="shared" si="4"/>
        <v>19376</v>
      </c>
      <c r="K51" s="4">
        <f>IF(J51&lt;'Параметры ПФ'!$N$7+0.01,'Стандартные программы'!J51,ROUNDDOWN('Параметры ПФ'!$N$7/IF(H51=0,I51,IF(I51&gt;H51,H51,I51)),0)*IF(H51=0,I51,IF(I51&gt;H51,H51,I51)))</f>
        <v>19376</v>
      </c>
      <c r="L51" s="3">
        <f t="shared" si="0"/>
        <v>387520</v>
      </c>
      <c r="M51" s="25">
        <f>IF(J51&lt;'Параметры ПФ'!$N$7+0.01,E51*F51*G51,ROUNDDOWN('Параметры ПФ'!$N$7/IF(H51=0,I51,IF(I51&gt;H51,H51,I51)),0)*G51)</f>
        <v>1600</v>
      </c>
      <c r="N51" s="19">
        <f t="shared" ref="N51:N57" si="11">IF(H51=0,I51*F51*E51,IF(I51&gt;H51,H51*F51*E51,I51*F51*E51))-K51</f>
        <v>0</v>
      </c>
      <c r="O51" s="95" t="b">
        <f t="shared" si="1"/>
        <v>1</v>
      </c>
      <c r="P51" s="96">
        <f t="shared" si="2"/>
        <v>144</v>
      </c>
    </row>
    <row r="52" spans="1:16" x14ac:dyDescent="0.25">
      <c r="A52" s="2" t="s">
        <v>98</v>
      </c>
      <c r="B52" s="118" t="s">
        <v>126</v>
      </c>
      <c r="C52" s="2" t="s">
        <v>2</v>
      </c>
      <c r="D52" s="16">
        <v>36</v>
      </c>
      <c r="E52" s="16">
        <v>16</v>
      </c>
      <c r="F52" s="17">
        <v>4</v>
      </c>
      <c r="G52" s="17">
        <v>20</v>
      </c>
      <c r="H52" s="122" cm="1">
        <f t="array" ref="H52">INDEX('Нормативные затраты по МЗ'!$C$2:$C$7,MATCH(A52&amp;C52,'Нормативные затраты по МЗ'!$A$2:$A$7&amp;'Нормативные затраты по МЗ'!$B$2:$B$7,0))</f>
        <v>242.2</v>
      </c>
      <c r="I52" s="3">
        <f>HLOOKUP($C52,'Параметры ПФ'!$F$3:$K$10,8,FALSE)</f>
        <v>243.39</v>
      </c>
      <c r="J52" s="3">
        <f t="shared" si="4"/>
        <v>15500.8</v>
      </c>
      <c r="K52" s="4">
        <f>IF(J52&lt;'Параметры ПФ'!$N$7+0.01,'Стандартные программы'!J52,ROUNDDOWN('Параметры ПФ'!$N$7/IF(H52=0,I52,IF(I52&gt;H52,H52,I52)),0)*IF(H52=0,I52,IF(I52&gt;H52,H52,I52)))</f>
        <v>15500.8</v>
      </c>
      <c r="L52" s="3">
        <f t="shared" si="0"/>
        <v>310016</v>
      </c>
      <c r="M52" s="25">
        <f>IF(J52&lt;'Параметры ПФ'!$N$7+0.01,E52*F52*G52,ROUNDDOWN('Параметры ПФ'!$N$7/IF(H52=0,I52,IF(I52&gt;H52,H52,I52)),0)*G52)</f>
        <v>1280</v>
      </c>
      <c r="N52" s="19">
        <f t="shared" si="11"/>
        <v>0</v>
      </c>
      <c r="O52" s="95" t="b">
        <f t="shared" si="1"/>
        <v>1</v>
      </c>
      <c r="P52" s="96">
        <f t="shared" si="2"/>
        <v>144</v>
      </c>
    </row>
    <row r="53" spans="1:16" ht="47.25" x14ac:dyDescent="0.25">
      <c r="A53" s="118" t="s">
        <v>127</v>
      </c>
      <c r="B53" s="118" t="s">
        <v>157</v>
      </c>
      <c r="C53" s="2" t="s">
        <v>2</v>
      </c>
      <c r="D53" s="16">
        <v>36</v>
      </c>
      <c r="E53" s="16">
        <v>36</v>
      </c>
      <c r="F53" s="17">
        <v>6</v>
      </c>
      <c r="G53" s="17">
        <v>93</v>
      </c>
      <c r="H53" s="122" cm="1">
        <f t="array" ref="H53">INDEX('Нормативные затраты по МЗ'!$C$2:$C$7,MATCH(A53&amp;C53,'Нормативные затраты по МЗ'!$A$2:$A$7&amp;'Нормативные затраты по МЗ'!$B$2:$B$7,0))</f>
        <v>133.99</v>
      </c>
      <c r="I53" s="3">
        <f>HLOOKUP($C53,'Параметры ПФ'!$F$3:$K$10,8,FALSE)</f>
        <v>243.39</v>
      </c>
      <c r="J53" s="3">
        <f t="shared" ref="J53" si="12">IF(H53=0,I53*F53*E53,IF(I53&gt;H53,H53*F53*E53,I53*F53*E53))</f>
        <v>28941.84</v>
      </c>
      <c r="K53" s="4">
        <f>IF(J53&lt;'Параметры ПФ'!$N$7+0.01,'Стандартные программы'!J53,ROUNDDOWN('Параметры ПФ'!$N$7/IF(H53=0,I53,IF(I53&gt;H53,H53,I53)),0)*IF(H53=0,I53,IF(I53&gt;H53,H53,I53)))</f>
        <v>28941.84</v>
      </c>
      <c r="L53" s="3">
        <f t="shared" ref="L53" si="13">K53*G53</f>
        <v>2691591.12</v>
      </c>
      <c r="M53" s="25">
        <f>IF(J53&lt;'Параметры ПФ'!$N$7+0.01,E53*F53*G53,ROUNDDOWN('Параметры ПФ'!$N$7/IF(H53=0,I53,IF(I53&gt;H53,H53,I53)),0)*G53)</f>
        <v>20088</v>
      </c>
      <c r="N53" s="19">
        <f t="shared" ref="N53" si="14">IF(H53=0,I53*F53*E53,IF(I53&gt;H53,H53*F53*E53,I53*F53*E53))-K53</f>
        <v>0</v>
      </c>
      <c r="O53" s="95" t="b">
        <f t="shared" ref="O53" si="15">IF(I53&gt;=H53,TRUE,FALSE)</f>
        <v>1</v>
      </c>
      <c r="P53" s="96">
        <f t="shared" ref="P53" si="16">D53*F53</f>
        <v>216</v>
      </c>
    </row>
    <row r="54" spans="1:16" ht="47.25" x14ac:dyDescent="0.25">
      <c r="A54" s="118" t="s">
        <v>127</v>
      </c>
      <c r="B54" s="118" t="s">
        <v>129</v>
      </c>
      <c r="C54" s="2" t="s">
        <v>2</v>
      </c>
      <c r="D54" s="16">
        <v>36</v>
      </c>
      <c r="E54" s="16">
        <v>20</v>
      </c>
      <c r="F54" s="17">
        <v>4</v>
      </c>
      <c r="G54" s="17">
        <v>20</v>
      </c>
      <c r="H54" s="122" cm="1">
        <f t="array" ref="H54">INDEX('Нормативные затраты по МЗ'!$C$2:$C$7,MATCH(A54&amp;C54,'Нормативные затраты по МЗ'!$A$2:$A$7&amp;'Нормативные затраты по МЗ'!$B$2:$B$7,0))</f>
        <v>133.99</v>
      </c>
      <c r="I54" s="3">
        <f>HLOOKUP($C54,'Параметры ПФ'!$F$3:$K$10,8,FALSE)</f>
        <v>243.39</v>
      </c>
      <c r="J54" s="3">
        <f t="shared" si="4"/>
        <v>10719.2</v>
      </c>
      <c r="K54" s="4">
        <f>IF(J54&lt;'Параметры ПФ'!$N$7+0.01,'Стандартные программы'!J54,ROUNDDOWN('Параметры ПФ'!$N$7/IF(H54=0,I54,IF(I54&gt;H54,H54,I54)),0)*IF(H54=0,I54,IF(I54&gt;H54,H54,I54)))</f>
        <v>10719.2</v>
      </c>
      <c r="L54" s="3">
        <f t="shared" si="0"/>
        <v>214384</v>
      </c>
      <c r="M54" s="25">
        <f>IF(J54&lt;'Параметры ПФ'!$N$7+0.01,E54*F54*G54,ROUNDDOWN('Параметры ПФ'!$N$7/IF(H54=0,I54,IF(I54&gt;H54,H54,I54)),0)*G54)</f>
        <v>1600</v>
      </c>
      <c r="N54" s="19">
        <f t="shared" si="11"/>
        <v>0</v>
      </c>
      <c r="O54" s="95" t="b">
        <f t="shared" si="1"/>
        <v>1</v>
      </c>
      <c r="P54" s="96">
        <f t="shared" si="2"/>
        <v>144</v>
      </c>
    </row>
    <row r="55" spans="1:16" ht="47.25" x14ac:dyDescent="0.25">
      <c r="A55" s="118" t="s">
        <v>127</v>
      </c>
      <c r="B55" s="118" t="s">
        <v>129</v>
      </c>
      <c r="C55" s="2" t="s">
        <v>2</v>
      </c>
      <c r="D55" s="16">
        <v>36</v>
      </c>
      <c r="E55" s="16">
        <v>16</v>
      </c>
      <c r="F55" s="17">
        <v>4</v>
      </c>
      <c r="G55" s="17">
        <v>20</v>
      </c>
      <c r="H55" s="122" cm="1">
        <f t="array" ref="H55">INDEX('Нормативные затраты по МЗ'!$C$2:$C$7,MATCH(A55&amp;C55,'Нормативные затраты по МЗ'!$A$2:$A$7&amp;'Нормативные затраты по МЗ'!$B$2:$B$7,0))</f>
        <v>133.99</v>
      </c>
      <c r="I55" s="3">
        <f>HLOOKUP($C55,'Параметры ПФ'!$F$3:$K$10,8,FALSE)</f>
        <v>243.39</v>
      </c>
      <c r="J55" s="3">
        <f t="shared" si="4"/>
        <v>8575.36</v>
      </c>
      <c r="K55" s="4">
        <f>IF(J55&lt;'Параметры ПФ'!$N$7+0.01,'Стандартные программы'!J55,ROUNDDOWN('Параметры ПФ'!$N$7/IF(H55=0,I55,IF(I55&gt;H55,H55,I55)),0)*IF(H55=0,I55,IF(I55&gt;H55,H55,I55)))</f>
        <v>8575.36</v>
      </c>
      <c r="L55" s="3">
        <f t="shared" si="0"/>
        <v>171507.20000000001</v>
      </c>
      <c r="M55" s="25">
        <f>IF(J55&lt;'Параметры ПФ'!$N$7+0.01,E55*F55*G55,ROUNDDOWN('Параметры ПФ'!$N$7/IF(H55=0,I55,IF(I55&gt;H55,H55,I55)),0)*G55)</f>
        <v>1280</v>
      </c>
      <c r="N55" s="19">
        <f t="shared" si="11"/>
        <v>0</v>
      </c>
      <c r="O55" s="95" t="b">
        <f t="shared" si="1"/>
        <v>1</v>
      </c>
      <c r="P55" s="96">
        <f t="shared" si="2"/>
        <v>144</v>
      </c>
    </row>
    <row r="56" spans="1:16" ht="31.5" x14ac:dyDescent="0.25">
      <c r="A56" s="118" t="s">
        <v>127</v>
      </c>
      <c r="B56" s="118" t="s">
        <v>130</v>
      </c>
      <c r="C56" s="2" t="s">
        <v>2</v>
      </c>
      <c r="D56" s="16">
        <v>36</v>
      </c>
      <c r="E56" s="16">
        <v>36</v>
      </c>
      <c r="F56" s="17">
        <v>4</v>
      </c>
      <c r="G56" s="17">
        <v>18</v>
      </c>
      <c r="H56" s="122" cm="1">
        <f t="array" ref="H56">INDEX('Нормативные затраты по МЗ'!$C$2:$C$7,MATCH(A56&amp;C56,'Нормативные затраты по МЗ'!$A$2:$A$7&amp;'Нормативные затраты по МЗ'!$B$2:$B$7,0))</f>
        <v>133.99</v>
      </c>
      <c r="I56" s="3">
        <f>HLOOKUP($C56,'Параметры ПФ'!$F$3:$K$10,8,FALSE)</f>
        <v>243.39</v>
      </c>
      <c r="J56" s="3">
        <f t="shared" si="4"/>
        <v>19294.560000000001</v>
      </c>
      <c r="K56" s="4">
        <f>IF(J56&lt;'Параметры ПФ'!$N$7+0.01,'Стандартные программы'!J56,ROUNDDOWN('Параметры ПФ'!$N$7/IF(H56=0,I56,IF(I56&gt;H56,H56,I56)),0)*IF(H56=0,I56,IF(I56&gt;H56,H56,I56)))</f>
        <v>19294.560000000001</v>
      </c>
      <c r="L56" s="3">
        <f t="shared" si="0"/>
        <v>347302.08</v>
      </c>
      <c r="M56" s="25">
        <f>IF(J56&lt;'Параметры ПФ'!$N$7+0.01,E56*F56*G56,ROUNDDOWN('Параметры ПФ'!$N$7/IF(H56=0,I56,IF(I56&gt;H56,H56,I56)),0)*G56)</f>
        <v>2592</v>
      </c>
      <c r="N56" s="19">
        <f t="shared" si="11"/>
        <v>0</v>
      </c>
      <c r="O56" s="95" t="b">
        <f t="shared" si="1"/>
        <v>1</v>
      </c>
      <c r="P56" s="96">
        <f t="shared" si="2"/>
        <v>144</v>
      </c>
    </row>
    <row r="57" spans="1:16" ht="31.5" x14ac:dyDescent="0.25">
      <c r="A57" s="118" t="s">
        <v>127</v>
      </c>
      <c r="B57" s="118" t="s">
        <v>131</v>
      </c>
      <c r="C57" s="2" t="s">
        <v>2</v>
      </c>
      <c r="D57" s="16">
        <v>36</v>
      </c>
      <c r="E57" s="16">
        <v>36</v>
      </c>
      <c r="F57" s="17">
        <v>6</v>
      </c>
      <c r="G57" s="17">
        <v>21</v>
      </c>
      <c r="H57" s="122" cm="1">
        <f t="array" ref="H57">INDEX('Нормативные затраты по МЗ'!$C$2:$C$7,MATCH(A57&amp;C57,'Нормативные затраты по МЗ'!$A$2:$A$7&amp;'Нормативные затраты по МЗ'!$B$2:$B$7,0))</f>
        <v>133.99</v>
      </c>
      <c r="I57" s="3">
        <f>HLOOKUP($C57,'Параметры ПФ'!$F$3:$K$10,8,FALSE)</f>
        <v>243.39</v>
      </c>
      <c r="J57" s="3">
        <f t="shared" si="4"/>
        <v>28941.84</v>
      </c>
      <c r="K57" s="4">
        <f>IF(J57&lt;'Параметры ПФ'!$N$7+0.01,'Стандартные программы'!J57,ROUNDDOWN('Параметры ПФ'!$N$7/IF(H57=0,I57,IF(I57&gt;H57,H57,I57)),0)*IF(H57=0,I57,IF(I57&gt;H57,H57,I57)))</f>
        <v>28941.84</v>
      </c>
      <c r="L57" s="3">
        <f t="shared" si="0"/>
        <v>607778.64</v>
      </c>
      <c r="M57" s="25">
        <f>IF(J57&lt;'Параметры ПФ'!$N$7+0.01,E57*F57*G57,ROUNDDOWN('Параметры ПФ'!$N$7/IF(H57=0,I57,IF(I57&gt;H57,H57,I57)),0)*G57)</f>
        <v>4536</v>
      </c>
      <c r="N57" s="19">
        <f t="shared" si="11"/>
        <v>0</v>
      </c>
      <c r="O57" s="95" t="b">
        <f t="shared" si="1"/>
        <v>1</v>
      </c>
      <c r="P57" s="96">
        <f t="shared" si="2"/>
        <v>216</v>
      </c>
    </row>
    <row r="58" spans="1:16" x14ac:dyDescent="0.25">
      <c r="A58" s="154"/>
      <c r="B58" s="154"/>
      <c r="C58" s="154"/>
      <c r="D58" s="154"/>
      <c r="E58" s="154"/>
      <c r="F58" s="155"/>
      <c r="G58" s="5">
        <f>SUM(G2:G57)</f>
        <v>828</v>
      </c>
      <c r="H58" s="6" t="s">
        <v>9</v>
      </c>
      <c r="I58" s="7" t="s">
        <v>9</v>
      </c>
      <c r="J58" s="6" t="s">
        <v>9</v>
      </c>
      <c r="K58" s="7" t="s">
        <v>9</v>
      </c>
      <c r="L58" s="23">
        <f>SUM(L2:L57)</f>
        <v>15554727.84</v>
      </c>
      <c r="M58" s="24">
        <f>SUM(M2:M57)</f>
        <v>77408</v>
      </c>
      <c r="N58" s="20" t="s">
        <v>9</v>
      </c>
      <c r="O58" s="95"/>
      <c r="P58" s="91"/>
    </row>
    <row r="60" spans="1:16" x14ac:dyDescent="0.25">
      <c r="G60" s="10">
        <f>G2+G4+G6+G7+G9+G10+G12+G14+G16+G18+G20+G22+G24+G26+G28+G30+G32+G34+G36+G38+G40+G42+G44+G46+G47+G49+G51</f>
        <v>338</v>
      </c>
    </row>
    <row r="61" spans="1:16" x14ac:dyDescent="0.25">
      <c r="G61" s="10">
        <f>G53+G54+G56+G57</f>
        <v>152</v>
      </c>
    </row>
  </sheetData>
  <autoFilter ref="A1:N58"/>
  <mergeCells count="1">
    <mergeCell ref="A58:F58"/>
  </mergeCells>
  <phoneticPr fontId="4" type="noConversion"/>
  <conditionalFormatting sqref="N2:N57">
    <cfRule type="cellIs" dxfId="5" priority="2" operator="greater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44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Ошибка" error="Направленность не из списка!" promptTitle="Направленность" prompt="Выберите направленность из списка">
          <x14:formula1>
            <xm:f>[1]Справочники!#REF!</xm:f>
          </x14:formula1>
          <xm:sqref>C59:E1048576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="70" zoomScaleNormal="70" workbookViewId="0">
      <selection activeCell="D7" sqref="D7"/>
    </sheetView>
  </sheetViews>
  <sheetFormatPr defaultColWidth="11" defaultRowHeight="15.75" x14ac:dyDescent="0.25"/>
  <cols>
    <col min="1" max="1" width="25.375" style="9" customWidth="1"/>
    <col min="2" max="2" width="34.5" style="9" customWidth="1"/>
    <col min="3" max="3" width="24.125" style="9" customWidth="1"/>
    <col min="4" max="4" width="11.5" style="9" customWidth="1"/>
    <col min="5" max="5" width="12.875" style="9" customWidth="1"/>
    <col min="6" max="6" width="12.125" style="10" customWidth="1"/>
    <col min="7" max="7" width="11.5" style="10" customWidth="1"/>
    <col min="8" max="8" width="12.5" style="11" customWidth="1"/>
    <col min="9" max="9" width="11.125" style="8" customWidth="1"/>
    <col min="10" max="10" width="12" style="8" customWidth="1"/>
    <col min="11" max="11" width="15.625" customWidth="1"/>
    <col min="12" max="12" width="15.375" style="8" customWidth="1"/>
    <col min="13" max="13" width="16.25" style="8" customWidth="1"/>
    <col min="14" max="14" width="19" style="21" customWidth="1"/>
    <col min="15" max="16" width="14.75" customWidth="1"/>
  </cols>
  <sheetData>
    <row r="1" spans="1:16" s="1" customFormat="1" ht="78.75" x14ac:dyDescent="0.25">
      <c r="A1" s="12" t="s">
        <v>5</v>
      </c>
      <c r="B1" s="12" t="s">
        <v>6</v>
      </c>
      <c r="C1" s="12" t="s">
        <v>4</v>
      </c>
      <c r="D1" s="13" t="s">
        <v>3</v>
      </c>
      <c r="E1" s="13" t="s">
        <v>39</v>
      </c>
      <c r="F1" s="13" t="s">
        <v>11</v>
      </c>
      <c r="G1" s="13" t="s">
        <v>7</v>
      </c>
      <c r="H1" s="14" t="s">
        <v>68</v>
      </c>
      <c r="I1" s="15" t="s">
        <v>8</v>
      </c>
      <c r="J1" s="15" t="s">
        <v>40</v>
      </c>
      <c r="K1" s="22" t="s">
        <v>41</v>
      </c>
      <c r="L1" s="15" t="s">
        <v>12</v>
      </c>
      <c r="M1" s="15" t="s">
        <v>13</v>
      </c>
      <c r="N1" s="18" t="s">
        <v>42</v>
      </c>
      <c r="O1" s="93" t="s">
        <v>67</v>
      </c>
      <c r="P1" s="94" t="s">
        <v>69</v>
      </c>
    </row>
    <row r="2" spans="1:16" x14ac:dyDescent="0.25">
      <c r="A2" s="2" t="s">
        <v>98</v>
      </c>
      <c r="B2" s="2"/>
      <c r="C2" s="2" t="s">
        <v>1</v>
      </c>
      <c r="D2" s="16"/>
      <c r="E2" s="16"/>
      <c r="F2" s="17"/>
      <c r="G2" s="17"/>
      <c r="H2" s="97" cm="1">
        <f t="array" ref="H2">INDEX('Нормативные затраты по МЗ'!$C$2:$C$7,MATCH(A2&amp;C2,'Нормативные затраты по МЗ'!$A$2:$A$7&amp;'Нормативные затраты по МЗ'!$B$2:$B$7,0))</f>
        <v>249.5</v>
      </c>
      <c r="I2" s="3">
        <f>HLOOKUP($C2,'Параметры ПФ'!$F$3:$K$10,8,FALSE)*'Параметры ПФ'!$G$25</f>
        <v>249.57</v>
      </c>
      <c r="J2" s="3">
        <f>IF(H2=0,I2*F2*E2,IF(I2&gt;H2,H2*F2*E2,I2*F2*E2))</f>
        <v>0</v>
      </c>
      <c r="K2" s="4">
        <f>IF(J2&lt;'Параметры ПФ'!$N$7+0.01,'Дистанционные программы'!J2,ROUNDDOWN('Параметры ПФ'!$N$7/IF(H2=0,I2,IF(I2&gt;H2,H2,I2)),0)*IF(H2=0,I2,IF(I2&gt;H2,H2,I2)))</f>
        <v>0</v>
      </c>
      <c r="L2" s="3">
        <f t="shared" ref="L2" si="0">K2*G2</f>
        <v>0</v>
      </c>
      <c r="M2" s="25">
        <f>IF(J2&lt;'Параметры ПФ'!$N$7+0.01,E2*F2*G2,ROUNDDOWN('Параметры ПФ'!$N$7/IF(H2=0,I2,IF(I2&gt;H2,H2,I2)),0)*G2)</f>
        <v>0</v>
      </c>
      <c r="N2" s="19">
        <f>IF(H2=0,I2*F2*E2,IF(I2&gt;H2,H2*F2*E2,I2*F2*E2))-K2</f>
        <v>0</v>
      </c>
      <c r="O2" s="98" t="b">
        <f>IF(I2&gt;=H2,TRUE,FALSE)</f>
        <v>1</v>
      </c>
      <c r="P2" s="96">
        <f>D2*F2</f>
        <v>0</v>
      </c>
    </row>
    <row r="3" spans="1:16" x14ac:dyDescent="0.25">
      <c r="A3" s="154"/>
      <c r="B3" s="154"/>
      <c r="C3" s="154"/>
      <c r="D3" s="154"/>
      <c r="E3" s="154"/>
      <c r="F3" s="154"/>
      <c r="G3" s="5">
        <f>SUM(G2:G2)</f>
        <v>0</v>
      </c>
      <c r="H3" s="6" t="s">
        <v>9</v>
      </c>
      <c r="I3" s="7" t="s">
        <v>9</v>
      </c>
      <c r="J3" s="6" t="s">
        <v>9</v>
      </c>
      <c r="K3" s="7" t="s">
        <v>9</v>
      </c>
      <c r="L3" s="23">
        <f>SUM(L2:L2)</f>
        <v>0</v>
      </c>
      <c r="M3" s="24">
        <f>SUM(M2:M2)</f>
        <v>0</v>
      </c>
      <c r="N3" s="20" t="s">
        <v>9</v>
      </c>
      <c r="O3" s="91"/>
      <c r="P3" s="96"/>
    </row>
  </sheetData>
  <autoFilter ref="A1:N3"/>
  <mergeCells count="1">
    <mergeCell ref="A3:F3"/>
  </mergeCells>
  <conditionalFormatting sqref="N2">
    <cfRule type="cellIs" dxfId="4" priority="1" operator="greater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showErrorMessage="1" errorTitle="Ошибка" error="Направленность не из списка!" promptTitle="Направленность" prompt="Выберите направленность из списка">
          <x14:formula1>
            <xm:f>[1]Справочники!#REF!</xm:f>
          </x14:formula1>
          <xm:sqref>C4:E1048576</xm:sqref>
        </x14:dataValidation>
        <x14:dataValidation type="list" allowBlank="1" showInputMessage="1" showErrorMessage="1">
          <x14:formula1>
            <xm:f>'Параметры ПФ'!$F$3:$K$3</xm:f>
          </x14:formula1>
          <xm:sqref>C2</xm:sqref>
        </x14:dataValidation>
        <x14:dataValidation type="list" allowBlank="1" showInputMessage="1" showErrorMessage="1">
          <x14:formula1>
            <xm:f>'Нормативные затраты по МЗ'!$A$2:$A$7</xm:f>
          </x14:formula1>
          <xm:sqref>A2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="70" zoomScaleNormal="70" workbookViewId="0">
      <selection activeCell="A3" sqref="A3:XFD38"/>
    </sheetView>
  </sheetViews>
  <sheetFormatPr defaultColWidth="11" defaultRowHeight="15.75" x14ac:dyDescent="0.25"/>
  <cols>
    <col min="1" max="1" width="25.375" style="9" customWidth="1"/>
    <col min="2" max="2" width="34.5" style="9" customWidth="1"/>
    <col min="3" max="3" width="24.125" style="9" customWidth="1"/>
    <col min="4" max="4" width="11.5" style="9" customWidth="1"/>
    <col min="5" max="5" width="12.875" style="9" customWidth="1"/>
    <col min="6" max="6" width="12.125" style="10" customWidth="1"/>
    <col min="7" max="7" width="11.5" style="10" customWidth="1"/>
    <col min="8" max="8" width="12.5" style="11" customWidth="1"/>
    <col min="9" max="9" width="11.125" style="8" customWidth="1"/>
    <col min="10" max="10" width="12" style="8" customWidth="1"/>
    <col min="11" max="11" width="15.625" customWidth="1"/>
    <col min="12" max="12" width="15.375" style="8" customWidth="1"/>
    <col min="13" max="13" width="16.25" style="8" customWidth="1"/>
    <col min="14" max="14" width="19" style="21" customWidth="1"/>
    <col min="15" max="15" width="17.75" customWidth="1"/>
    <col min="16" max="16" width="18.75" customWidth="1"/>
  </cols>
  <sheetData>
    <row r="1" spans="1:16" s="1" customFormat="1" ht="78.75" x14ac:dyDescent="0.25">
      <c r="A1" s="12" t="s">
        <v>5</v>
      </c>
      <c r="B1" s="12" t="s">
        <v>6</v>
      </c>
      <c r="C1" s="12" t="s">
        <v>4</v>
      </c>
      <c r="D1" s="13" t="s">
        <v>3</v>
      </c>
      <c r="E1" s="13" t="s">
        <v>39</v>
      </c>
      <c r="F1" s="13" t="s">
        <v>11</v>
      </c>
      <c r="G1" s="13" t="s">
        <v>7</v>
      </c>
      <c r="H1" s="14" t="s">
        <v>68</v>
      </c>
      <c r="I1" s="15" t="s">
        <v>8</v>
      </c>
      <c r="J1" s="15" t="s">
        <v>40</v>
      </c>
      <c r="K1" s="22" t="s">
        <v>41</v>
      </c>
      <c r="L1" s="15" t="s">
        <v>12</v>
      </c>
      <c r="M1" s="15" t="s">
        <v>13</v>
      </c>
      <c r="N1" s="18" t="s">
        <v>42</v>
      </c>
      <c r="O1" s="93" t="s">
        <v>67</v>
      </c>
      <c r="P1" s="94" t="s">
        <v>69</v>
      </c>
    </row>
    <row r="2" spans="1:16" x14ac:dyDescent="0.25">
      <c r="A2" s="2" t="s">
        <v>98</v>
      </c>
      <c r="B2" s="2"/>
      <c r="C2" s="2" t="s">
        <v>1</v>
      </c>
      <c r="D2" s="16"/>
      <c r="E2" s="16"/>
      <c r="F2" s="17"/>
      <c r="G2" s="17"/>
      <c r="H2" s="97" cm="1">
        <f t="array" ref="H2">INDEX('Нормативные затраты по МЗ'!$C$2:$C$7,MATCH(A2&amp;C2,'Нормативные затраты по МЗ'!$A$2:$A$7&amp;'Нормативные затраты по МЗ'!$B$2:$B$7,0))</f>
        <v>249.5</v>
      </c>
      <c r="I2" s="3">
        <f>HLOOKUP($C2,'Параметры ПФ'!$F$3:$K$10,8,FALSE)*'Параметры ПФ'!$G$26</f>
        <v>249.57</v>
      </c>
      <c r="J2" s="3">
        <f>IF(H2=0,I2*F2*E2,IF(I2&gt;H2,H2*F2*E2,I2*F2*E2))</f>
        <v>0</v>
      </c>
      <c r="K2" s="4">
        <f>IF(J2&lt;'Параметры ПФ'!$N$7+0.01,'Очно-заочные программы'!J2,ROUNDDOWN('Параметры ПФ'!$N$7/IF(H2=0,I2,IF(I2&gt;H2,H2,I2)),0)*IF(H2=0,I2,IF(I2&gt;H2,H2,I2)))</f>
        <v>0</v>
      </c>
      <c r="L2" s="3">
        <f t="shared" ref="L2" si="0">K2*G2</f>
        <v>0</v>
      </c>
      <c r="M2" s="25">
        <f>IF(J2&lt;'Параметры ПФ'!$N$7+0.01,E2*F2*G2,ROUNDDOWN('Параметры ПФ'!$N$7/IF(H2=0,I2,IF(I2&gt;H2,H2,I2)),0)*G2)</f>
        <v>0</v>
      </c>
      <c r="N2" s="19">
        <f>IF(H2=0,I2*F2*E2,IF(I2&gt;H2,H2*F2*E2,I2*F2*E2))-K2</f>
        <v>0</v>
      </c>
      <c r="O2" s="98" t="b">
        <f>IF(I2&gt;=H2,TRUE,FALSE)</f>
        <v>1</v>
      </c>
      <c r="P2" s="96">
        <f>D2*F2</f>
        <v>0</v>
      </c>
    </row>
    <row r="3" spans="1:16" x14ac:dyDescent="0.25">
      <c r="A3" s="154"/>
      <c r="B3" s="154"/>
      <c r="C3" s="154"/>
      <c r="D3" s="154"/>
      <c r="E3" s="154"/>
      <c r="F3" s="154"/>
      <c r="G3" s="5">
        <f>SUM(G2:G2)</f>
        <v>0</v>
      </c>
      <c r="H3" s="6" t="s">
        <v>9</v>
      </c>
      <c r="I3" s="7" t="s">
        <v>9</v>
      </c>
      <c r="J3" s="6" t="s">
        <v>9</v>
      </c>
      <c r="K3" s="7" t="s">
        <v>9</v>
      </c>
      <c r="L3" s="23">
        <f>SUM(L2:L2)</f>
        <v>0</v>
      </c>
      <c r="M3" s="24">
        <f>SUM(M2:M2)</f>
        <v>0</v>
      </c>
      <c r="N3" s="20" t="s">
        <v>9</v>
      </c>
      <c r="O3" s="98" t="b">
        <f t="shared" ref="O3" si="1">IF(I3&gt;=H3,TRUE,FALSE)</f>
        <v>1</v>
      </c>
      <c r="P3" s="96"/>
    </row>
  </sheetData>
  <autoFilter ref="A1:N3"/>
  <mergeCells count="1">
    <mergeCell ref="A3:F3"/>
  </mergeCells>
  <conditionalFormatting sqref="N2">
    <cfRule type="cellIs" dxfId="3" priority="1" operator="greater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'Параметры ПФ'!$F$3:$K$3</xm:f>
          </x14:formula1>
          <xm:sqref>C2</xm:sqref>
        </x14:dataValidation>
        <x14:dataValidation type="list" errorStyle="warning" allowBlank="1" showInputMessage="1" showErrorMessage="1" errorTitle="Ошибка" error="Направленность не из списка!" promptTitle="Направленность" prompt="Выберите направленность из списка">
          <x14:formula1>
            <xm:f>[1]Справочники!#REF!</xm:f>
          </x14:formula1>
          <xm:sqref>C4:E1048576</xm:sqref>
        </x14:dataValidation>
        <x14:dataValidation type="list" allowBlank="1" showInputMessage="1" showErrorMessage="1">
          <x14:formula1>
            <xm:f>'Нормативные затраты по МЗ'!$A$2:$A$7</xm:f>
          </x14:formula1>
          <xm:sqref>A2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zoomScale="70" zoomScaleNormal="70" workbookViewId="0">
      <selection activeCell="L6" sqref="L6"/>
    </sheetView>
  </sheetViews>
  <sheetFormatPr defaultColWidth="11" defaultRowHeight="15.75" x14ac:dyDescent="0.25"/>
  <cols>
    <col min="1" max="1" width="25.375" style="9" customWidth="1"/>
    <col min="2" max="2" width="34.5" style="9" customWidth="1"/>
    <col min="3" max="3" width="24.125" style="9" customWidth="1"/>
    <col min="4" max="4" width="11.5" style="9" customWidth="1"/>
    <col min="5" max="5" width="15" style="9" customWidth="1"/>
    <col min="6" max="6" width="12.125" style="10" customWidth="1"/>
    <col min="7" max="7" width="11.5" style="10" customWidth="1"/>
    <col min="8" max="8" width="12.5" style="11" customWidth="1"/>
    <col min="9" max="9" width="11.125" style="8" customWidth="1"/>
    <col min="10" max="10" width="12" style="8" customWidth="1"/>
    <col min="11" max="11" width="15.625" customWidth="1"/>
    <col min="12" max="12" width="15.375" style="8" customWidth="1"/>
    <col min="13" max="13" width="16.25" style="8" customWidth="1"/>
    <col min="14" max="14" width="19" style="21" customWidth="1"/>
    <col min="15" max="15" width="15.75" style="71" customWidth="1"/>
    <col min="16" max="16" width="18.875" customWidth="1"/>
  </cols>
  <sheetData>
    <row r="1" spans="1:16" s="1" customFormat="1" ht="71.25" customHeight="1" x14ac:dyDescent="0.25">
      <c r="A1" s="12" t="s">
        <v>5</v>
      </c>
      <c r="B1" s="12" t="s">
        <v>6</v>
      </c>
      <c r="C1" s="12" t="s">
        <v>4</v>
      </c>
      <c r="D1" s="13" t="s">
        <v>3</v>
      </c>
      <c r="E1" s="13" t="s">
        <v>39</v>
      </c>
      <c r="F1" s="13" t="s">
        <v>11</v>
      </c>
      <c r="G1" s="13" t="s">
        <v>7</v>
      </c>
      <c r="H1" s="14" t="s">
        <v>89</v>
      </c>
      <c r="I1" s="15" t="s">
        <v>8</v>
      </c>
      <c r="J1" s="15" t="s">
        <v>40</v>
      </c>
      <c r="K1" s="22" t="s">
        <v>41</v>
      </c>
      <c r="L1" s="15" t="s">
        <v>12</v>
      </c>
      <c r="M1" s="15" t="s">
        <v>13</v>
      </c>
      <c r="N1" s="18" t="s">
        <v>42</v>
      </c>
      <c r="O1" s="93" t="s">
        <v>67</v>
      </c>
      <c r="P1" s="94" t="s">
        <v>69</v>
      </c>
    </row>
    <row r="2" spans="1:16" x14ac:dyDescent="0.25">
      <c r="A2" s="2" t="s">
        <v>98</v>
      </c>
      <c r="B2" s="2" t="s">
        <v>132</v>
      </c>
      <c r="C2" s="2" t="s">
        <v>47</v>
      </c>
      <c r="D2" s="16">
        <v>36</v>
      </c>
      <c r="E2" s="16">
        <v>20</v>
      </c>
      <c r="F2" s="17">
        <v>4</v>
      </c>
      <c r="G2" s="17">
        <v>10</v>
      </c>
      <c r="H2" s="97" cm="1">
        <f t="array" ref="H2">INDEX('Нормативные затраты по МЗ'!$C$2:$C$7,MATCH(A2&amp;C2,'Нормативные затраты по МЗ'!$A$2:$A$7&amp;'Нормативные затраты по МЗ'!$B$2:$B$7,0))</f>
        <v>240.4</v>
      </c>
      <c r="I2" s="3">
        <f>HLOOKUP($C2,'Параметры ПФ'!$F$3:$K$10,8,FALSE)*'Параметры ПФ'!$G$23</f>
        <v>243.56</v>
      </c>
      <c r="J2" s="3">
        <f>IF(H2=0,I2*F2*E2,IF(I2&gt;H2,H2*F2*E2,I2*F2*E2))</f>
        <v>19232</v>
      </c>
      <c r="K2" s="4">
        <f>IF(J2&lt;'Параметры ПФ'!$N$13+0.01,'Адаптированные программы'!J2,ROUNDDOWN('Параметры ПФ'!$N$13/IF(H2=0,I2,IF(I2&gt;H2,H2,I2)),0)*IF(H2=0,I2,IF(I2&gt;H2,H2,I2)))</f>
        <v>19232</v>
      </c>
      <c r="L2" s="3">
        <f t="shared" ref="L2:L4" si="0">K2*G2</f>
        <v>192320</v>
      </c>
      <c r="M2" s="25">
        <f>IF(J2&lt;'Параметры ПФ'!$N$7+0.01,E2*F2*G2,ROUNDDOWN('Параметры ПФ'!$N$7/IF(H2=0,I2,IF(I2&gt;H2,H2,I2)),0)*G2)</f>
        <v>800</v>
      </c>
      <c r="N2" s="19">
        <f>IF(H2=0,I2*F2*E2,IF(I2&gt;H2,H2*F2*E2,I2*F2*E2))-K2</f>
        <v>0</v>
      </c>
      <c r="O2" s="95" t="b">
        <f>IF(I2&gt;=H2,TRUE,FALSE)</f>
        <v>1</v>
      </c>
      <c r="P2" s="96">
        <f>D2*F2</f>
        <v>144</v>
      </c>
    </row>
    <row r="3" spans="1:16" x14ac:dyDescent="0.25">
      <c r="A3" s="2" t="s">
        <v>98</v>
      </c>
      <c r="B3" s="2" t="s">
        <v>132</v>
      </c>
      <c r="C3" s="2" t="s">
        <v>47</v>
      </c>
      <c r="D3" s="16">
        <v>36</v>
      </c>
      <c r="E3" s="16">
        <v>16</v>
      </c>
      <c r="F3" s="17">
        <v>4</v>
      </c>
      <c r="G3" s="17">
        <v>10</v>
      </c>
      <c r="H3" s="97" cm="1">
        <f t="array" ref="H3">INDEX('Нормативные затраты по МЗ'!$C$2:$C$7,MATCH(A3&amp;C3,'Нормативные затраты по МЗ'!$A$2:$A$7&amp;'Нормативные затраты по МЗ'!$B$2:$B$7,0))</f>
        <v>240.4</v>
      </c>
      <c r="I3" s="3">
        <f>HLOOKUP($C3,'Параметры ПФ'!$F$3:$K$10,8,FALSE)*'Параметры ПФ'!$G$23</f>
        <v>243.56</v>
      </c>
      <c r="J3" s="3">
        <f>IF(H3=0,I3*F3*E3,IF(I3&gt;H3,H3*F3*E3,I3*F3*E3))</f>
        <v>15385.6</v>
      </c>
      <c r="K3" s="4">
        <f>IF(J3&lt;'Параметры ПФ'!$N$13+0.01,'Адаптированные программы'!J3,ROUNDDOWN('Параметры ПФ'!$N$13/IF(H3=0,I3,IF(I3&gt;H3,H3,I3)),0)*IF(H3=0,I3,IF(I3&gt;H3,H3,I3)))</f>
        <v>15385.6</v>
      </c>
      <c r="L3" s="3">
        <f t="shared" si="0"/>
        <v>153856</v>
      </c>
      <c r="M3" s="25">
        <f>IF(J3&lt;'Параметры ПФ'!$N$7+0.01,E3*F3*G3,ROUNDDOWN('Параметры ПФ'!$N$7/IF(H3=0,I3,IF(I3&gt;H3,H3,I3)),0)*G3)</f>
        <v>640</v>
      </c>
      <c r="N3" s="19">
        <f>IF(H3=0,I3*F3*E3,IF(I3&gt;H3,H3*F3*E3,I3*F3*E3))-K3</f>
        <v>0</v>
      </c>
      <c r="O3" s="95" t="b">
        <f t="shared" ref="O3:O4" si="1">IF(I3&gt;=H3,TRUE,FALSE)</f>
        <v>1</v>
      </c>
      <c r="P3" s="96">
        <f t="shared" ref="P3:P4" si="2">D3*F3</f>
        <v>144</v>
      </c>
    </row>
    <row r="4" spans="1:16" x14ac:dyDescent="0.25">
      <c r="A4" s="2" t="s">
        <v>98</v>
      </c>
      <c r="B4" s="2" t="s">
        <v>137</v>
      </c>
      <c r="C4" s="2" t="s">
        <v>18</v>
      </c>
      <c r="D4" s="16">
        <v>36</v>
      </c>
      <c r="E4" s="16">
        <v>20</v>
      </c>
      <c r="F4" s="17">
        <v>4</v>
      </c>
      <c r="G4" s="17">
        <v>0</v>
      </c>
      <c r="H4" s="97" cm="1">
        <f t="array" ref="H4">INDEX('Нормативные затраты по МЗ'!$C$2:$C$7,MATCH(A4&amp;C4,'Нормативные затраты по МЗ'!$A$2:$A$7&amp;'Нормативные затраты по МЗ'!$B$2:$B$7,0))</f>
        <v>234.7</v>
      </c>
      <c r="I4" s="3">
        <f>HLOOKUP($C4,'Параметры ПФ'!$F$3:$K$10,8,FALSE)*'Параметры ПФ'!$G$23</f>
        <v>243.64</v>
      </c>
      <c r="J4" s="3">
        <f>IF(H4=0,I4*F4*E4,IF(I4&gt;H4,H4*F4*E4,I4*F4*E4))</f>
        <v>18776</v>
      </c>
      <c r="K4" s="4">
        <f>IF(J4&lt;'Параметры ПФ'!$N$13+0.01,'Адаптированные программы'!J4,ROUNDDOWN('Параметры ПФ'!$N$13/IF(H4=0,I4,IF(I4&gt;H4,H4,I4)),0)*IF(H4=0,I4,IF(I4&gt;H4,H4,I4)))</f>
        <v>18776</v>
      </c>
      <c r="L4" s="3">
        <f t="shared" si="0"/>
        <v>0</v>
      </c>
      <c r="M4" s="25">
        <f>IF(J4&lt;'Параметры ПФ'!$N$7+0.01,E4*F4*G4,ROUNDDOWN('Параметры ПФ'!$N$7/IF(H4=0,I4,IF(I4&gt;H4,H4,I4)),0)*G4)</f>
        <v>0</v>
      </c>
      <c r="N4" s="19">
        <f>IF(H4=0,I4*F4*E4,IF(I4&gt;H4,H4*F4*E4,I4*F4*E4))-K4</f>
        <v>0</v>
      </c>
      <c r="O4" s="95" t="b">
        <f t="shared" si="1"/>
        <v>1</v>
      </c>
      <c r="P4" s="96">
        <f t="shared" si="2"/>
        <v>144</v>
      </c>
    </row>
    <row r="5" spans="1:16" x14ac:dyDescent="0.25">
      <c r="A5" s="2" t="s">
        <v>98</v>
      </c>
      <c r="B5" s="2" t="s">
        <v>137</v>
      </c>
      <c r="C5" s="2" t="s">
        <v>18</v>
      </c>
      <c r="D5" s="16">
        <v>36</v>
      </c>
      <c r="E5" s="16">
        <v>16</v>
      </c>
      <c r="F5" s="17">
        <v>4</v>
      </c>
      <c r="G5" s="17">
        <v>10</v>
      </c>
      <c r="H5" s="97" cm="1">
        <f t="array" ref="H5">INDEX('Нормативные затраты по МЗ'!$C$2:$C$7,MATCH(A5&amp;C5,'Нормативные затраты по МЗ'!$A$2:$A$7&amp;'Нормативные затраты по МЗ'!$B$2:$B$7,0))</f>
        <v>234.7</v>
      </c>
      <c r="I5" s="3">
        <f>HLOOKUP($C5,'Параметры ПФ'!$F$3:$K$10,8,FALSE)*'Параметры ПФ'!$G$23</f>
        <v>243.64</v>
      </c>
      <c r="J5" s="3">
        <f>IF(H5=0,I5*F5*E5,IF(I5&gt;H5,H5*F5*E5,I5*F5*E5))</f>
        <v>15020.8</v>
      </c>
      <c r="K5" s="4">
        <f>IF(J5&lt;'Параметры ПФ'!$N$13+0.01,'Адаптированные программы'!J5,ROUNDDOWN('Параметры ПФ'!$N$13/IF(H5=0,I5,IF(I5&gt;H5,H5,I5)),0)*IF(H5=0,I5,IF(I5&gt;H5,H5,I5)))</f>
        <v>15020.8</v>
      </c>
      <c r="L5" s="3">
        <f t="shared" ref="L5" si="3">K5*G5</f>
        <v>150208</v>
      </c>
      <c r="M5" s="25">
        <f>IF(J5&lt;'Параметры ПФ'!$N$7+0.01,E5*F5*G5,ROUNDDOWN('Параметры ПФ'!$N$7/IF(H5=0,I5,IF(I5&gt;H5,H5,I5)),0)*G5)</f>
        <v>640</v>
      </c>
      <c r="N5" s="19">
        <f>IF(H5=0,I5*F5*E5,IF(I5&gt;H5,H5*F5*E5,I5*F5*E5))-K5</f>
        <v>0</v>
      </c>
      <c r="O5" s="95" t="b">
        <f t="shared" ref="O5" si="4">IF(I5&gt;=H5,TRUE,FALSE)</f>
        <v>1</v>
      </c>
      <c r="P5" s="96">
        <f t="shared" ref="P5" si="5">D5*F5</f>
        <v>144</v>
      </c>
    </row>
    <row r="6" spans="1:16" x14ac:dyDescent="0.25">
      <c r="A6" s="154"/>
      <c r="B6" s="154"/>
      <c r="C6" s="154"/>
      <c r="D6" s="154"/>
      <c r="E6" s="154"/>
      <c r="F6" s="154"/>
      <c r="G6" s="5">
        <f>SUM(G2:G5)</f>
        <v>30</v>
      </c>
      <c r="H6" s="6" t="s">
        <v>9</v>
      </c>
      <c r="I6" s="7" t="s">
        <v>9</v>
      </c>
      <c r="J6" s="6" t="s">
        <v>9</v>
      </c>
      <c r="K6" s="7" t="s">
        <v>9</v>
      </c>
      <c r="L6" s="23">
        <f>SUM(L2:L5)</f>
        <v>496384</v>
      </c>
      <c r="M6" s="24">
        <f>SUM(M2:M5)</f>
        <v>2080</v>
      </c>
      <c r="N6" s="20" t="s">
        <v>9</v>
      </c>
      <c r="O6" s="95"/>
      <c r="P6" s="96"/>
    </row>
  </sheetData>
  <autoFilter ref="A1:N6"/>
  <mergeCells count="1">
    <mergeCell ref="A6:F6"/>
  </mergeCells>
  <conditionalFormatting sqref="N2:N3">
    <cfRule type="cellIs" dxfId="2" priority="3" operator="greaterThan">
      <formula>#REF!</formula>
    </cfRule>
  </conditionalFormatting>
  <conditionalFormatting sqref="N5">
    <cfRule type="cellIs" dxfId="1" priority="2" operator="greaterThan">
      <formula>#REF!</formula>
    </cfRule>
  </conditionalFormatting>
  <conditionalFormatting sqref="N4">
    <cfRule type="cellIs" dxfId="0" priority="1" operator="greater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Ошибка" error="Направленность не из списка!" promptTitle="Направленность" prompt="Выберите направленность из списка">
          <x14:formula1>
            <xm:f>[1]Справочники!#REF!</xm:f>
          </x14:formula1>
          <xm:sqref>C7:E1048576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opLeftCell="A40" zoomScale="80" zoomScaleNormal="80" workbookViewId="0">
      <selection activeCell="J2" sqref="J2:J66"/>
    </sheetView>
  </sheetViews>
  <sheetFormatPr defaultColWidth="11" defaultRowHeight="15.75" x14ac:dyDescent="0.25"/>
  <cols>
    <col min="1" max="1" width="23.875" style="9" customWidth="1"/>
    <col min="2" max="2" width="34.5" style="9" customWidth="1"/>
    <col min="3" max="3" width="24.125" style="9" customWidth="1"/>
    <col min="4" max="4" width="11.5" style="9" customWidth="1"/>
    <col min="5" max="5" width="15" style="9" customWidth="1"/>
    <col min="6" max="6" width="12.125" style="10" customWidth="1"/>
    <col min="7" max="7" width="11.5" style="10" customWidth="1"/>
    <col min="8" max="8" width="12.5" style="11" customWidth="1"/>
    <col min="9" max="9" width="19.375" style="8" customWidth="1"/>
    <col min="10" max="10" width="19.625" style="8" customWidth="1"/>
    <col min="11" max="11" width="13.25" style="76" customWidth="1"/>
  </cols>
  <sheetData>
    <row r="1" spans="1:11" s="1" customFormat="1" ht="83.25" customHeight="1" x14ac:dyDescent="0.25">
      <c r="A1" s="12" t="s">
        <v>5</v>
      </c>
      <c r="B1" s="12" t="s">
        <v>6</v>
      </c>
      <c r="C1" s="12" t="s">
        <v>4</v>
      </c>
      <c r="D1" s="13" t="s">
        <v>3</v>
      </c>
      <c r="E1" s="13" t="s">
        <v>39</v>
      </c>
      <c r="F1" s="13" t="s">
        <v>11</v>
      </c>
      <c r="G1" s="13" t="s">
        <v>7</v>
      </c>
      <c r="H1" s="14" t="s">
        <v>71</v>
      </c>
      <c r="I1" s="15" t="s">
        <v>72</v>
      </c>
      <c r="J1" s="15" t="s">
        <v>97</v>
      </c>
      <c r="K1" s="74"/>
    </row>
    <row r="2" spans="1:11" x14ac:dyDescent="0.25">
      <c r="A2" s="2" t="s">
        <v>98</v>
      </c>
      <c r="B2" s="118" t="s">
        <v>99</v>
      </c>
      <c r="C2" s="2" t="s">
        <v>47</v>
      </c>
      <c r="D2" s="16">
        <v>36</v>
      </c>
      <c r="E2" s="16">
        <v>20</v>
      </c>
      <c r="F2" s="17">
        <v>4</v>
      </c>
      <c r="G2" s="17">
        <v>10</v>
      </c>
      <c r="H2" s="122" cm="1">
        <f t="array" ref="H2">INDEX('Нормативные затраты по МЗ'!$C$2:$C$7,MATCH(A2&amp;C2,'Нормативные затраты по МЗ'!$A$2:$A$7&amp;'Нормативные затраты по МЗ'!$B$2:$B$7,0))</f>
        <v>240.4</v>
      </c>
      <c r="I2" s="3">
        <f>E2*F2*G2*H2</f>
        <v>192320</v>
      </c>
      <c r="J2" s="75">
        <f>E2*F2*G2</f>
        <v>800</v>
      </c>
    </row>
    <row r="3" spans="1:11" x14ac:dyDescent="0.25">
      <c r="A3" s="2" t="s">
        <v>98</v>
      </c>
      <c r="B3" s="118" t="s">
        <v>99</v>
      </c>
      <c r="C3" s="2" t="s">
        <v>47</v>
      </c>
      <c r="D3" s="16">
        <v>36</v>
      </c>
      <c r="E3" s="16">
        <v>16</v>
      </c>
      <c r="F3" s="17">
        <v>4</v>
      </c>
      <c r="G3" s="17">
        <v>10</v>
      </c>
      <c r="H3" s="122" cm="1">
        <f t="array" ref="H3">INDEX('Нормативные затраты по МЗ'!$C$2:$C$7,MATCH(A3&amp;C3,'Нормативные затраты по МЗ'!$A$2:$A$7&amp;'Нормативные затраты по МЗ'!$B$2:$B$7,0))</f>
        <v>240.4</v>
      </c>
      <c r="I3" s="3">
        <f t="shared" ref="I3:I74" si="0">E3*F3*G3*H3</f>
        <v>153856</v>
      </c>
      <c r="J3" s="75">
        <f t="shared" ref="J3:J74" si="1">E3*F3*G3</f>
        <v>640</v>
      </c>
    </row>
    <row r="4" spans="1:11" x14ac:dyDescent="0.25">
      <c r="A4" s="2" t="s">
        <v>98</v>
      </c>
      <c r="B4" s="118" t="s">
        <v>133</v>
      </c>
      <c r="C4" s="2" t="s">
        <v>47</v>
      </c>
      <c r="D4" s="16">
        <v>36</v>
      </c>
      <c r="E4" s="16">
        <v>20</v>
      </c>
      <c r="F4" s="17">
        <v>4</v>
      </c>
      <c r="G4" s="17">
        <v>10</v>
      </c>
      <c r="H4" s="122" cm="1">
        <f t="array" ref="H4">INDEX('Нормативные затраты по МЗ'!$C$2:$C$7,MATCH(A4&amp;C4,'Нормативные затраты по МЗ'!$A$2:$A$7&amp;'Нормативные затраты по МЗ'!$B$2:$B$7,0))</f>
        <v>240.4</v>
      </c>
      <c r="I4" s="3">
        <f t="shared" si="0"/>
        <v>192320</v>
      </c>
      <c r="J4" s="75">
        <f t="shared" si="1"/>
        <v>800</v>
      </c>
    </row>
    <row r="5" spans="1:11" x14ac:dyDescent="0.25">
      <c r="A5" s="2" t="s">
        <v>98</v>
      </c>
      <c r="B5" s="118" t="s">
        <v>133</v>
      </c>
      <c r="C5" s="2" t="s">
        <v>47</v>
      </c>
      <c r="D5" s="16">
        <v>36</v>
      </c>
      <c r="E5" s="16">
        <v>16</v>
      </c>
      <c r="F5" s="17">
        <v>4</v>
      </c>
      <c r="G5" s="17">
        <v>10</v>
      </c>
      <c r="H5" s="122" cm="1">
        <f t="array" ref="H5">INDEX('Нормативные затраты по МЗ'!$C$2:$C$7,MATCH(A5&amp;C5,'Нормативные затраты по МЗ'!$A$2:$A$7&amp;'Нормативные затраты по МЗ'!$B$2:$B$7,0))</f>
        <v>240.4</v>
      </c>
      <c r="I5" s="3">
        <f t="shared" si="0"/>
        <v>153856</v>
      </c>
      <c r="J5" s="75">
        <f t="shared" si="1"/>
        <v>640</v>
      </c>
    </row>
    <row r="6" spans="1:11" x14ac:dyDescent="0.25">
      <c r="A6" s="2" t="s">
        <v>98</v>
      </c>
      <c r="B6" s="118" t="s">
        <v>134</v>
      </c>
      <c r="C6" s="2" t="s">
        <v>47</v>
      </c>
      <c r="D6" s="16">
        <v>36</v>
      </c>
      <c r="E6" s="16">
        <v>20</v>
      </c>
      <c r="F6" s="17">
        <v>4</v>
      </c>
      <c r="G6" s="17">
        <v>20</v>
      </c>
      <c r="H6" s="122" cm="1">
        <f t="array" ref="H6">INDEX('Нормативные затраты по МЗ'!$C$2:$C$7,MATCH(A6&amp;C6,'Нормативные затраты по МЗ'!$A$2:$A$7&amp;'Нормативные затраты по МЗ'!$B$2:$B$7,0))</f>
        <v>240.4</v>
      </c>
      <c r="I6" s="3">
        <f t="shared" si="0"/>
        <v>384640</v>
      </c>
      <c r="J6" s="75">
        <f t="shared" si="1"/>
        <v>1600</v>
      </c>
    </row>
    <row r="7" spans="1:11" x14ac:dyDescent="0.25">
      <c r="A7" s="2" t="s">
        <v>98</v>
      </c>
      <c r="B7" s="118" t="s">
        <v>134</v>
      </c>
      <c r="C7" s="2" t="s">
        <v>47</v>
      </c>
      <c r="D7" s="16">
        <v>36</v>
      </c>
      <c r="E7" s="16">
        <v>16</v>
      </c>
      <c r="F7" s="17">
        <v>4</v>
      </c>
      <c r="G7" s="17">
        <v>20</v>
      </c>
      <c r="H7" s="122" cm="1">
        <f t="array" ref="H7">INDEX('Нормативные затраты по МЗ'!$C$2:$C$7,MATCH(A7&amp;C7,'Нормативные затраты по МЗ'!$A$2:$A$7&amp;'Нормативные затраты по МЗ'!$B$2:$B$7,0))</f>
        <v>240.4</v>
      </c>
      <c r="I7" s="3">
        <f t="shared" si="0"/>
        <v>307712</v>
      </c>
      <c r="J7" s="75">
        <f t="shared" si="1"/>
        <v>1280</v>
      </c>
    </row>
    <row r="8" spans="1:11" x14ac:dyDescent="0.25">
      <c r="A8" s="2" t="s">
        <v>98</v>
      </c>
      <c r="B8" s="118" t="s">
        <v>153</v>
      </c>
      <c r="C8" s="2" t="s">
        <v>14</v>
      </c>
      <c r="D8" s="16">
        <v>36</v>
      </c>
      <c r="E8" s="16">
        <v>20</v>
      </c>
      <c r="F8" s="17">
        <v>4</v>
      </c>
      <c r="G8" s="17">
        <v>10</v>
      </c>
      <c r="H8" s="122" cm="1">
        <f t="array" ref="H8">INDEX('Нормативные затраты по МЗ'!$C$2:$C$7,MATCH(A8&amp;C8,'Нормативные затраты по МЗ'!$A$2:$A$7&amp;'Нормативные затраты по МЗ'!$B$2:$B$7,0))</f>
        <v>252.9</v>
      </c>
      <c r="I8" s="3">
        <f t="shared" si="0"/>
        <v>202320</v>
      </c>
      <c r="J8" s="75">
        <f t="shared" si="1"/>
        <v>800</v>
      </c>
    </row>
    <row r="9" spans="1:11" x14ac:dyDescent="0.25">
      <c r="A9" s="2" t="s">
        <v>98</v>
      </c>
      <c r="B9" s="118" t="s">
        <v>153</v>
      </c>
      <c r="C9" s="2" t="s">
        <v>14</v>
      </c>
      <c r="D9" s="16">
        <v>36</v>
      </c>
      <c r="E9" s="16">
        <v>16</v>
      </c>
      <c r="F9" s="17">
        <v>4</v>
      </c>
      <c r="G9" s="17">
        <v>10</v>
      </c>
      <c r="H9" s="122" cm="1">
        <f t="array" ref="H9">INDEX('Нормативные затраты по МЗ'!$C$2:$C$7,MATCH(A9&amp;C9,'Нормативные затраты по МЗ'!$A$2:$A$7&amp;'Нормативные затраты по МЗ'!$B$2:$B$7,0))</f>
        <v>252.9</v>
      </c>
      <c r="I9" s="3">
        <f t="shared" si="0"/>
        <v>161856</v>
      </c>
      <c r="J9" s="75">
        <f t="shared" si="1"/>
        <v>640</v>
      </c>
    </row>
    <row r="10" spans="1:11" x14ac:dyDescent="0.25">
      <c r="A10" s="2" t="s">
        <v>98</v>
      </c>
      <c r="B10" s="118" t="s">
        <v>101</v>
      </c>
      <c r="C10" s="2" t="s">
        <v>14</v>
      </c>
      <c r="D10" s="16">
        <v>36</v>
      </c>
      <c r="E10" s="16">
        <v>36</v>
      </c>
      <c r="F10" s="17">
        <v>2</v>
      </c>
      <c r="G10" s="17">
        <v>10</v>
      </c>
      <c r="H10" s="122" cm="1">
        <f t="array" ref="H10">INDEX('Нормативные затраты по МЗ'!$C$2:$C$7,MATCH(A10&amp;C10,'Нормативные затраты по МЗ'!$A$2:$A$7&amp;'Нормативные затраты по МЗ'!$B$2:$B$7,0))</f>
        <v>252.9</v>
      </c>
      <c r="I10" s="3">
        <f t="shared" si="0"/>
        <v>182088</v>
      </c>
      <c r="J10" s="75">
        <f t="shared" si="1"/>
        <v>720</v>
      </c>
    </row>
    <row r="11" spans="1:11" x14ac:dyDescent="0.25">
      <c r="A11" s="2" t="s">
        <v>98</v>
      </c>
      <c r="B11" s="118" t="s">
        <v>102</v>
      </c>
      <c r="C11" s="2" t="s">
        <v>14</v>
      </c>
      <c r="D11" s="16">
        <v>36</v>
      </c>
      <c r="E11" s="16">
        <v>36</v>
      </c>
      <c r="F11" s="17">
        <v>6</v>
      </c>
      <c r="G11" s="17">
        <v>12</v>
      </c>
      <c r="H11" s="122" cm="1">
        <f t="array" ref="H11">INDEX('Нормативные затраты по МЗ'!$C$2:$C$7,MATCH(A11&amp;C11,'Нормативные затраты по МЗ'!$A$2:$A$7&amp;'Нормативные затраты по МЗ'!$B$2:$B$7,0))</f>
        <v>252.9</v>
      </c>
      <c r="I11" s="3">
        <f t="shared" si="0"/>
        <v>655516.80000000005</v>
      </c>
      <c r="J11" s="75">
        <f t="shared" si="1"/>
        <v>2592</v>
      </c>
    </row>
    <row r="12" spans="1:11" x14ac:dyDescent="0.25">
      <c r="A12" s="2" t="s">
        <v>98</v>
      </c>
      <c r="B12" s="118" t="s">
        <v>102</v>
      </c>
      <c r="C12" s="2" t="s">
        <v>14</v>
      </c>
      <c r="D12" s="16">
        <v>36</v>
      </c>
      <c r="E12" s="16">
        <v>36</v>
      </c>
      <c r="F12" s="17">
        <v>4</v>
      </c>
      <c r="G12" s="17">
        <v>30</v>
      </c>
      <c r="H12" s="122" cm="1">
        <f t="array" ref="H12">INDEX('Нормативные затраты по МЗ'!$C$2:$C$7,MATCH(A12&amp;C12,'Нормативные затраты по МЗ'!$A$2:$A$7&amp;'Нормативные затраты по МЗ'!$B$2:$B$7,0))</f>
        <v>252.9</v>
      </c>
      <c r="I12" s="3">
        <f t="shared" si="0"/>
        <v>1092528</v>
      </c>
      <c r="J12" s="75">
        <f t="shared" si="1"/>
        <v>4320</v>
      </c>
    </row>
    <row r="13" spans="1:11" ht="47.25" x14ac:dyDescent="0.25">
      <c r="A13" s="2" t="s">
        <v>98</v>
      </c>
      <c r="B13" s="118" t="s">
        <v>117</v>
      </c>
      <c r="C13" s="2" t="s">
        <v>18</v>
      </c>
      <c r="D13" s="16">
        <v>36</v>
      </c>
      <c r="E13" s="16">
        <v>20</v>
      </c>
      <c r="F13" s="17">
        <v>4</v>
      </c>
      <c r="G13" s="17">
        <v>32</v>
      </c>
      <c r="H13" s="122" cm="1">
        <f t="array" ref="H13">INDEX('Нормативные затраты по МЗ'!$C$2:$C$7,MATCH(A13&amp;C13,'Нормативные затраты по МЗ'!$A$2:$A$7&amp;'Нормативные затраты по МЗ'!$B$2:$B$7,0))</f>
        <v>234.7</v>
      </c>
      <c r="I13" s="3">
        <f t="shared" si="0"/>
        <v>600832</v>
      </c>
      <c r="J13" s="75">
        <f t="shared" si="1"/>
        <v>2560</v>
      </c>
    </row>
    <row r="14" spans="1:11" ht="47.25" x14ac:dyDescent="0.25">
      <c r="A14" s="2" t="s">
        <v>98</v>
      </c>
      <c r="B14" s="118" t="s">
        <v>117</v>
      </c>
      <c r="C14" s="2" t="s">
        <v>18</v>
      </c>
      <c r="D14" s="16">
        <v>36</v>
      </c>
      <c r="E14" s="16">
        <v>16</v>
      </c>
      <c r="F14" s="17">
        <v>4</v>
      </c>
      <c r="G14" s="17">
        <v>40</v>
      </c>
      <c r="H14" s="122" cm="1">
        <f t="array" ref="H14">INDEX('Нормативные затраты по МЗ'!$C$2:$C$7,MATCH(A14&amp;C14,'Нормативные затраты по МЗ'!$A$2:$A$7&amp;'Нормативные затраты по МЗ'!$B$2:$B$7,0))</f>
        <v>234.7</v>
      </c>
      <c r="I14" s="3">
        <f t="shared" si="0"/>
        <v>600832</v>
      </c>
      <c r="J14" s="75">
        <f t="shared" si="1"/>
        <v>2560</v>
      </c>
    </row>
    <row r="15" spans="1:11" x14ac:dyDescent="0.25">
      <c r="A15" s="2" t="s">
        <v>98</v>
      </c>
      <c r="B15" s="118" t="s">
        <v>115</v>
      </c>
      <c r="C15" s="2" t="s">
        <v>18</v>
      </c>
      <c r="D15" s="16">
        <v>36</v>
      </c>
      <c r="E15" s="16">
        <v>20</v>
      </c>
      <c r="F15" s="17">
        <v>4</v>
      </c>
      <c r="G15" s="17">
        <v>20</v>
      </c>
      <c r="H15" s="122" cm="1">
        <f t="array" ref="H15">INDEX('Нормативные затраты по МЗ'!$C$2:$C$7,MATCH(A15&amp;C15,'Нормативные затраты по МЗ'!$A$2:$A$7&amp;'Нормативные затраты по МЗ'!$B$2:$B$7,0))</f>
        <v>234.7</v>
      </c>
      <c r="I15" s="3">
        <f t="shared" si="0"/>
        <v>375520</v>
      </c>
      <c r="J15" s="75">
        <f t="shared" si="1"/>
        <v>1600</v>
      </c>
    </row>
    <row r="16" spans="1:11" x14ac:dyDescent="0.25">
      <c r="A16" s="2" t="s">
        <v>98</v>
      </c>
      <c r="B16" s="118" t="s">
        <v>115</v>
      </c>
      <c r="C16" s="2" t="s">
        <v>18</v>
      </c>
      <c r="D16" s="16">
        <v>36</v>
      </c>
      <c r="E16" s="16">
        <v>16</v>
      </c>
      <c r="F16" s="17">
        <v>4</v>
      </c>
      <c r="G16" s="17">
        <v>20</v>
      </c>
      <c r="H16" s="122" cm="1">
        <f t="array" ref="H16">INDEX('Нормативные затраты по МЗ'!$C$2:$C$7,MATCH(A16&amp;C16,'Нормативные затраты по МЗ'!$A$2:$A$7&amp;'Нормативные затраты по МЗ'!$B$2:$B$7,0))</f>
        <v>234.7</v>
      </c>
      <c r="I16" s="3">
        <f t="shared" si="0"/>
        <v>300416</v>
      </c>
      <c r="J16" s="75">
        <f t="shared" si="1"/>
        <v>1280</v>
      </c>
    </row>
    <row r="17" spans="1:10" x14ac:dyDescent="0.25">
      <c r="A17" s="2" t="s">
        <v>98</v>
      </c>
      <c r="B17" s="118" t="s">
        <v>135</v>
      </c>
      <c r="C17" s="2" t="s">
        <v>18</v>
      </c>
      <c r="D17" s="16">
        <v>36</v>
      </c>
      <c r="E17" s="16">
        <v>20</v>
      </c>
      <c r="F17" s="17">
        <v>4</v>
      </c>
      <c r="G17" s="17">
        <v>10</v>
      </c>
      <c r="H17" s="122" cm="1">
        <f t="array" ref="H17">INDEX('Нормативные затраты по МЗ'!$C$2:$C$7,MATCH(A17&amp;C17,'Нормативные затраты по МЗ'!$A$2:$A$7&amp;'Нормативные затраты по МЗ'!$B$2:$B$7,0))</f>
        <v>234.7</v>
      </c>
      <c r="I17" s="3">
        <f t="shared" si="0"/>
        <v>187760</v>
      </c>
      <c r="J17" s="75">
        <f t="shared" si="1"/>
        <v>800</v>
      </c>
    </row>
    <row r="18" spans="1:10" x14ac:dyDescent="0.25">
      <c r="A18" s="2" t="s">
        <v>98</v>
      </c>
      <c r="B18" s="118" t="s">
        <v>135</v>
      </c>
      <c r="C18" s="2" t="s">
        <v>18</v>
      </c>
      <c r="D18" s="16">
        <v>36</v>
      </c>
      <c r="E18" s="16">
        <v>16</v>
      </c>
      <c r="F18" s="17">
        <v>4</v>
      </c>
      <c r="G18" s="17">
        <v>10</v>
      </c>
      <c r="H18" s="122" cm="1">
        <f t="array" ref="H18">INDEX('Нормативные затраты по МЗ'!$C$2:$C$7,MATCH(A18&amp;C18,'Нормативные затраты по МЗ'!$A$2:$A$7&amp;'Нормативные затраты по МЗ'!$B$2:$B$7,0))</f>
        <v>234.7</v>
      </c>
      <c r="I18" s="3">
        <f t="shared" si="0"/>
        <v>150208</v>
      </c>
      <c r="J18" s="75">
        <f t="shared" si="1"/>
        <v>640</v>
      </c>
    </row>
    <row r="19" spans="1:10" x14ac:dyDescent="0.25">
      <c r="A19" s="2" t="s">
        <v>98</v>
      </c>
      <c r="B19" s="118" t="s">
        <v>136</v>
      </c>
      <c r="C19" s="2" t="s">
        <v>18</v>
      </c>
      <c r="D19" s="16">
        <v>36</v>
      </c>
      <c r="E19" s="16">
        <v>20</v>
      </c>
      <c r="F19" s="17">
        <v>2</v>
      </c>
      <c r="G19" s="17">
        <v>0</v>
      </c>
      <c r="H19" s="122" cm="1">
        <f t="array" ref="H19">INDEX('Нормативные затраты по МЗ'!$C$2:$C$7,MATCH(A19&amp;C19,'Нормативные затраты по МЗ'!$A$2:$A$7&amp;'Нормативные затраты по МЗ'!$B$2:$B$7,0))</f>
        <v>234.7</v>
      </c>
      <c r="I19" s="3">
        <f t="shared" si="0"/>
        <v>0</v>
      </c>
      <c r="J19" s="75">
        <f t="shared" si="1"/>
        <v>0</v>
      </c>
    </row>
    <row r="20" spans="1:10" x14ac:dyDescent="0.25">
      <c r="A20" s="2" t="s">
        <v>98</v>
      </c>
      <c r="B20" s="118" t="s">
        <v>136</v>
      </c>
      <c r="C20" s="2" t="s">
        <v>18</v>
      </c>
      <c r="D20" s="16">
        <v>36</v>
      </c>
      <c r="E20" s="16">
        <v>16</v>
      </c>
      <c r="F20" s="17">
        <v>2</v>
      </c>
      <c r="G20" s="17">
        <v>0</v>
      </c>
      <c r="H20" s="122" cm="1">
        <f t="array" ref="H20">INDEX('Нормативные затраты по МЗ'!$C$2:$C$7,MATCH(A20&amp;C20,'Нормативные затраты по МЗ'!$A$2:$A$7&amp;'Нормативные затраты по МЗ'!$B$2:$B$7,0))</f>
        <v>234.7</v>
      </c>
      <c r="I20" s="3">
        <f t="shared" si="0"/>
        <v>0</v>
      </c>
      <c r="J20" s="75">
        <f t="shared" si="1"/>
        <v>0</v>
      </c>
    </row>
    <row r="21" spans="1:10" x14ac:dyDescent="0.25">
      <c r="A21" s="2" t="s">
        <v>98</v>
      </c>
      <c r="B21" s="118" t="s">
        <v>119</v>
      </c>
      <c r="C21" s="2" t="s">
        <v>18</v>
      </c>
      <c r="D21" s="16">
        <v>36</v>
      </c>
      <c r="E21" s="16">
        <v>20</v>
      </c>
      <c r="F21" s="17">
        <v>4</v>
      </c>
      <c r="G21" s="17">
        <v>8</v>
      </c>
      <c r="H21" s="122" cm="1">
        <f t="array" ref="H21">INDEX('Нормативные затраты по МЗ'!$C$2:$C$7,MATCH(A21&amp;C21,'Нормативные затраты по МЗ'!$A$2:$A$7&amp;'Нормативные затраты по МЗ'!$B$2:$B$7,0))</f>
        <v>234.7</v>
      </c>
      <c r="I21" s="3">
        <f t="shared" si="0"/>
        <v>150208</v>
      </c>
      <c r="J21" s="75">
        <f t="shared" si="1"/>
        <v>640</v>
      </c>
    </row>
    <row r="22" spans="1:10" x14ac:dyDescent="0.25">
      <c r="A22" s="2" t="s">
        <v>98</v>
      </c>
      <c r="B22" s="118" t="s">
        <v>119</v>
      </c>
      <c r="C22" s="2" t="s">
        <v>18</v>
      </c>
      <c r="D22" s="16">
        <v>36</v>
      </c>
      <c r="E22" s="16">
        <v>16</v>
      </c>
      <c r="F22" s="17">
        <v>4</v>
      </c>
      <c r="G22" s="17">
        <v>8</v>
      </c>
      <c r="H22" s="122" cm="1">
        <f t="array" ref="H22">INDEX('Нормативные затраты по МЗ'!$C$2:$C$7,MATCH(A22&amp;C22,'Нормативные затраты по МЗ'!$A$2:$A$7&amp;'Нормативные затраты по МЗ'!$B$2:$B$7,0))</f>
        <v>234.7</v>
      </c>
      <c r="I22" s="3">
        <f t="shared" si="0"/>
        <v>120166.39999999999</v>
      </c>
      <c r="J22" s="75">
        <f t="shared" si="1"/>
        <v>512</v>
      </c>
    </row>
    <row r="23" spans="1:10" x14ac:dyDescent="0.25">
      <c r="A23" s="2" t="s">
        <v>98</v>
      </c>
      <c r="B23" s="118" t="s">
        <v>137</v>
      </c>
      <c r="C23" s="2" t="s">
        <v>18</v>
      </c>
      <c r="D23" s="16">
        <v>36</v>
      </c>
      <c r="E23" s="16">
        <v>20</v>
      </c>
      <c r="F23" s="17">
        <v>4</v>
      </c>
      <c r="G23" s="17">
        <v>20</v>
      </c>
      <c r="H23" s="122" cm="1">
        <f t="array" ref="H23">INDEX('Нормативные затраты по МЗ'!$C$2:$C$7,MATCH(A23&amp;C23,'Нормативные затраты по МЗ'!$A$2:$A$7&amp;'Нормативные затраты по МЗ'!$B$2:$B$7,0))</f>
        <v>234.7</v>
      </c>
      <c r="I23" s="3">
        <f t="shared" si="0"/>
        <v>375520</v>
      </c>
      <c r="J23" s="75">
        <f t="shared" si="1"/>
        <v>1600</v>
      </c>
    </row>
    <row r="24" spans="1:10" x14ac:dyDescent="0.25">
      <c r="A24" s="2" t="s">
        <v>98</v>
      </c>
      <c r="B24" s="118" t="s">
        <v>137</v>
      </c>
      <c r="C24" s="2" t="s">
        <v>18</v>
      </c>
      <c r="D24" s="16">
        <v>36</v>
      </c>
      <c r="E24" s="16">
        <v>16</v>
      </c>
      <c r="F24" s="17">
        <v>4</v>
      </c>
      <c r="G24" s="17">
        <v>10</v>
      </c>
      <c r="H24" s="122" cm="1">
        <f t="array" ref="H24">INDEX('Нормативные затраты по МЗ'!$C$2:$C$7,MATCH(A24&amp;C24,'Нормативные затраты по МЗ'!$A$2:$A$7&amp;'Нормативные затраты по МЗ'!$B$2:$B$7,0))</f>
        <v>234.7</v>
      </c>
      <c r="I24" s="3">
        <f t="shared" si="0"/>
        <v>150208</v>
      </c>
      <c r="J24" s="75">
        <f t="shared" si="1"/>
        <v>640</v>
      </c>
    </row>
    <row r="25" spans="1:10" x14ac:dyDescent="0.25">
      <c r="A25" s="2" t="s">
        <v>98</v>
      </c>
      <c r="B25" s="118" t="s">
        <v>121</v>
      </c>
      <c r="C25" s="2" t="s">
        <v>18</v>
      </c>
      <c r="D25" s="16">
        <v>36</v>
      </c>
      <c r="E25" s="16">
        <v>36</v>
      </c>
      <c r="F25" s="17">
        <v>6</v>
      </c>
      <c r="G25" s="17">
        <v>24</v>
      </c>
      <c r="H25" s="122" cm="1">
        <f t="array" ref="H25">INDEX('Нормативные затраты по МЗ'!$C$2:$C$7,MATCH(A25&amp;C25,'Нормативные затраты по МЗ'!$A$2:$A$7&amp;'Нормативные затраты по МЗ'!$B$2:$B$7,0))</f>
        <v>234.7</v>
      </c>
      <c r="I25" s="3">
        <f t="shared" si="0"/>
        <v>1216684.8</v>
      </c>
      <c r="J25" s="75">
        <f t="shared" si="1"/>
        <v>5184</v>
      </c>
    </row>
    <row r="26" spans="1:10" x14ac:dyDescent="0.25">
      <c r="A26" s="2" t="s">
        <v>98</v>
      </c>
      <c r="B26" s="118" t="s">
        <v>121</v>
      </c>
      <c r="C26" s="2" t="s">
        <v>18</v>
      </c>
      <c r="D26" s="16">
        <v>36</v>
      </c>
      <c r="E26" s="16">
        <v>36</v>
      </c>
      <c r="F26" s="17">
        <v>4</v>
      </c>
      <c r="G26" s="17">
        <v>0</v>
      </c>
      <c r="H26" s="122" cm="1">
        <f t="array" ref="H26">INDEX('Нормативные затраты по МЗ'!$C$2:$C$7,MATCH(A26&amp;C26,'Нормативные затраты по МЗ'!$A$2:$A$7&amp;'Нормативные затраты по МЗ'!$B$2:$B$7,0))</f>
        <v>234.7</v>
      </c>
      <c r="I26" s="3">
        <f t="shared" si="0"/>
        <v>0</v>
      </c>
      <c r="J26" s="75">
        <f t="shared" si="1"/>
        <v>0</v>
      </c>
    </row>
    <row r="27" spans="1:10" x14ac:dyDescent="0.25">
      <c r="A27" s="2" t="s">
        <v>98</v>
      </c>
      <c r="B27" s="118" t="s">
        <v>138</v>
      </c>
      <c r="C27" s="2" t="s">
        <v>18</v>
      </c>
      <c r="D27" s="16">
        <v>36</v>
      </c>
      <c r="E27" s="16">
        <v>36</v>
      </c>
      <c r="F27" s="17">
        <v>4</v>
      </c>
      <c r="G27" s="17">
        <v>32</v>
      </c>
      <c r="H27" s="122" cm="1">
        <f t="array" ref="H27">INDEX('Нормативные затраты по МЗ'!$C$2:$C$7,MATCH(A27&amp;C27,'Нормативные затраты по МЗ'!$A$2:$A$7&amp;'Нормативные затраты по МЗ'!$B$2:$B$7,0))</f>
        <v>234.7</v>
      </c>
      <c r="I27" s="3">
        <f t="shared" si="0"/>
        <v>1081497.6000000001</v>
      </c>
      <c r="J27" s="75">
        <f t="shared" si="1"/>
        <v>4608</v>
      </c>
    </row>
    <row r="28" spans="1:10" x14ac:dyDescent="0.25">
      <c r="A28" s="2" t="s">
        <v>98</v>
      </c>
      <c r="B28" s="118" t="s">
        <v>139</v>
      </c>
      <c r="C28" s="2" t="s">
        <v>18</v>
      </c>
      <c r="D28" s="16">
        <v>36</v>
      </c>
      <c r="E28" s="16">
        <v>20</v>
      </c>
      <c r="F28" s="17">
        <v>2</v>
      </c>
      <c r="G28" s="17">
        <v>0</v>
      </c>
      <c r="H28" s="122" cm="1">
        <f t="array" ref="H28">INDEX('Нормативные затраты по МЗ'!$C$2:$C$7,MATCH(A28&amp;C28,'Нормативные затраты по МЗ'!$A$2:$A$7&amp;'Нормативные затраты по МЗ'!$B$2:$B$7,0))</f>
        <v>234.7</v>
      </c>
      <c r="I28" s="3">
        <f t="shared" si="0"/>
        <v>0</v>
      </c>
      <c r="J28" s="75">
        <f t="shared" si="1"/>
        <v>0</v>
      </c>
    </row>
    <row r="29" spans="1:10" x14ac:dyDescent="0.25">
      <c r="A29" s="2" t="s">
        <v>98</v>
      </c>
      <c r="B29" s="118" t="s">
        <v>139</v>
      </c>
      <c r="C29" s="2" t="s">
        <v>18</v>
      </c>
      <c r="D29" s="16">
        <v>36</v>
      </c>
      <c r="E29" s="16">
        <v>16</v>
      </c>
      <c r="F29" s="17">
        <v>2</v>
      </c>
      <c r="G29" s="17">
        <v>0</v>
      </c>
      <c r="H29" s="122" cm="1">
        <f t="array" ref="H29">INDEX('Нормативные затраты по МЗ'!$C$2:$C$7,MATCH(A29&amp;C29,'Нормативные затраты по МЗ'!$A$2:$A$7&amp;'Нормативные затраты по МЗ'!$B$2:$B$7,0))</f>
        <v>234.7</v>
      </c>
      <c r="I29" s="3">
        <f t="shared" si="0"/>
        <v>0</v>
      </c>
      <c r="J29" s="75">
        <f t="shared" si="1"/>
        <v>0</v>
      </c>
    </row>
    <row r="30" spans="1:10" ht="31.5" x14ac:dyDescent="0.25">
      <c r="A30" s="2" t="s">
        <v>98</v>
      </c>
      <c r="B30" s="118" t="s">
        <v>120</v>
      </c>
      <c r="C30" s="2" t="s">
        <v>18</v>
      </c>
      <c r="D30" s="16">
        <v>36</v>
      </c>
      <c r="E30" s="16">
        <v>36</v>
      </c>
      <c r="F30" s="17">
        <v>4</v>
      </c>
      <c r="G30" s="17">
        <v>30</v>
      </c>
      <c r="H30" s="122" cm="1">
        <f t="array" ref="H30">INDEX('Нормативные затраты по МЗ'!$C$2:$C$7,MATCH(A30&amp;C30,'Нормативные затраты по МЗ'!$A$2:$A$7&amp;'Нормативные затраты по МЗ'!$B$2:$B$7,0))</f>
        <v>234.7</v>
      </c>
      <c r="I30" s="3">
        <f t="shared" si="0"/>
        <v>1013904</v>
      </c>
      <c r="J30" s="75">
        <f t="shared" si="1"/>
        <v>4320</v>
      </c>
    </row>
    <row r="31" spans="1:10" x14ac:dyDescent="0.25">
      <c r="A31" s="2" t="s">
        <v>98</v>
      </c>
      <c r="B31" s="118" t="s">
        <v>140</v>
      </c>
      <c r="C31" s="2" t="s">
        <v>18</v>
      </c>
      <c r="D31" s="16">
        <v>36</v>
      </c>
      <c r="E31" s="16">
        <v>20</v>
      </c>
      <c r="F31" s="17">
        <v>4</v>
      </c>
      <c r="G31" s="17">
        <v>8</v>
      </c>
      <c r="H31" s="122" cm="1">
        <f t="array" ref="H31">INDEX('Нормативные затраты по МЗ'!$C$2:$C$7,MATCH(A31&amp;C31,'Нормативные затраты по МЗ'!$A$2:$A$7&amp;'Нормативные затраты по МЗ'!$B$2:$B$7,0))</f>
        <v>234.7</v>
      </c>
      <c r="I31" s="3">
        <f t="shared" si="0"/>
        <v>150208</v>
      </c>
      <c r="J31" s="75">
        <f t="shared" si="1"/>
        <v>640</v>
      </c>
    </row>
    <row r="32" spans="1:10" x14ac:dyDescent="0.25">
      <c r="A32" s="2" t="s">
        <v>98</v>
      </c>
      <c r="B32" s="118" t="s">
        <v>140</v>
      </c>
      <c r="C32" s="2" t="s">
        <v>18</v>
      </c>
      <c r="D32" s="16">
        <v>36</v>
      </c>
      <c r="E32" s="16">
        <v>16</v>
      </c>
      <c r="F32" s="17">
        <v>4</v>
      </c>
      <c r="G32" s="17">
        <v>8</v>
      </c>
      <c r="H32" s="122" cm="1">
        <f t="array" ref="H32">INDEX('Нормативные затраты по МЗ'!$C$2:$C$7,MATCH(A32&amp;C32,'Нормативные затраты по МЗ'!$A$2:$A$7&amp;'Нормативные затраты по МЗ'!$B$2:$B$7,0))</f>
        <v>234.7</v>
      </c>
      <c r="I32" s="3">
        <f t="shared" si="0"/>
        <v>120166.39999999999</v>
      </c>
      <c r="J32" s="75">
        <f t="shared" si="1"/>
        <v>512</v>
      </c>
    </row>
    <row r="33" spans="1:10" x14ac:dyDescent="0.25">
      <c r="A33" s="2" t="s">
        <v>98</v>
      </c>
      <c r="B33" s="118" t="s">
        <v>111</v>
      </c>
      <c r="C33" s="2" t="s">
        <v>1</v>
      </c>
      <c r="D33" s="16">
        <v>36</v>
      </c>
      <c r="E33" s="16">
        <v>36</v>
      </c>
      <c r="F33" s="17">
        <v>4</v>
      </c>
      <c r="G33" s="17">
        <v>0</v>
      </c>
      <c r="H33" s="122" cm="1">
        <f t="array" ref="H33">INDEX('Нормативные затраты по МЗ'!$C$2:$C$7,MATCH(A33&amp;C33,'Нормативные затраты по МЗ'!$A$2:$A$7&amp;'Нормативные затраты по МЗ'!$B$2:$B$7,0))</f>
        <v>249.5</v>
      </c>
      <c r="I33" s="3">
        <f t="shared" si="0"/>
        <v>0</v>
      </c>
      <c r="J33" s="75">
        <f t="shared" si="1"/>
        <v>0</v>
      </c>
    </row>
    <row r="34" spans="1:10" x14ac:dyDescent="0.25">
      <c r="A34" s="2" t="s">
        <v>98</v>
      </c>
      <c r="B34" s="118" t="s">
        <v>111</v>
      </c>
      <c r="C34" s="2" t="s">
        <v>1</v>
      </c>
      <c r="D34" s="16">
        <v>36</v>
      </c>
      <c r="E34" s="16">
        <v>36</v>
      </c>
      <c r="F34" s="17">
        <v>2</v>
      </c>
      <c r="G34" s="17">
        <v>0</v>
      </c>
      <c r="H34" s="122" cm="1">
        <f t="array" ref="H34">INDEX('Нормативные затраты по МЗ'!$C$2:$C$7,MATCH(A34&amp;C34,'Нормативные затраты по МЗ'!$A$2:$A$7&amp;'Нормативные затраты по МЗ'!$B$2:$B$7,0))</f>
        <v>249.5</v>
      </c>
      <c r="I34" s="3">
        <f t="shared" si="0"/>
        <v>0</v>
      </c>
      <c r="J34" s="75">
        <f t="shared" si="1"/>
        <v>0</v>
      </c>
    </row>
    <row r="35" spans="1:10" x14ac:dyDescent="0.25">
      <c r="A35" s="2" t="s">
        <v>98</v>
      </c>
      <c r="B35" s="118" t="s">
        <v>105</v>
      </c>
      <c r="C35" s="2" t="s">
        <v>1</v>
      </c>
      <c r="D35" s="16">
        <v>36</v>
      </c>
      <c r="E35" s="16">
        <v>36</v>
      </c>
      <c r="F35" s="17">
        <v>4</v>
      </c>
      <c r="G35" s="17">
        <v>20</v>
      </c>
      <c r="H35" s="122" cm="1">
        <f t="array" ref="H35">INDEX('Нормативные затраты по МЗ'!$C$2:$C$7,MATCH(A35&amp;C35,'Нормативные затраты по МЗ'!$A$2:$A$7&amp;'Нормативные затраты по МЗ'!$B$2:$B$7,0))</f>
        <v>249.5</v>
      </c>
      <c r="I35" s="3">
        <f t="shared" si="0"/>
        <v>718560</v>
      </c>
      <c r="J35" s="75">
        <f t="shared" si="1"/>
        <v>2880</v>
      </c>
    </row>
    <row r="36" spans="1:10" x14ac:dyDescent="0.25">
      <c r="A36" s="2" t="s">
        <v>98</v>
      </c>
      <c r="B36" s="118" t="s">
        <v>105</v>
      </c>
      <c r="C36" s="2" t="s">
        <v>1</v>
      </c>
      <c r="D36" s="16">
        <v>36</v>
      </c>
      <c r="E36" s="16">
        <v>20</v>
      </c>
      <c r="F36" s="17">
        <v>2</v>
      </c>
      <c r="G36" s="17">
        <v>10</v>
      </c>
      <c r="H36" s="122" cm="1">
        <f t="array" ref="H36">INDEX('Нормативные затраты по МЗ'!$C$2:$C$7,MATCH(A36&amp;C36,'Нормативные затраты по МЗ'!$A$2:$A$7&amp;'Нормативные затраты по МЗ'!$B$2:$B$7,0))</f>
        <v>249.5</v>
      </c>
      <c r="I36" s="3">
        <f t="shared" ref="I36" si="2">E36*F36*G36*H36</f>
        <v>99800</v>
      </c>
      <c r="J36" s="75">
        <f t="shared" ref="J36" si="3">E36*F36*G36</f>
        <v>400</v>
      </c>
    </row>
    <row r="37" spans="1:10" x14ac:dyDescent="0.25">
      <c r="A37" s="2" t="s">
        <v>98</v>
      </c>
      <c r="B37" s="118" t="s">
        <v>105</v>
      </c>
      <c r="C37" s="2" t="s">
        <v>1</v>
      </c>
      <c r="D37" s="16">
        <v>36</v>
      </c>
      <c r="E37" s="16">
        <v>16</v>
      </c>
      <c r="F37" s="17">
        <v>2</v>
      </c>
      <c r="G37" s="17">
        <v>10</v>
      </c>
      <c r="H37" s="122" cm="1">
        <f t="array" ref="H37">INDEX('Нормативные затраты по МЗ'!$C$2:$C$7,MATCH(A37&amp;C37,'Нормативные затраты по МЗ'!$A$2:$A$7&amp;'Нормативные затраты по МЗ'!$B$2:$B$7,0))</f>
        <v>249.5</v>
      </c>
      <c r="I37" s="3">
        <f t="shared" ref="I37" si="4">E37*F37*G37*H37</f>
        <v>79840</v>
      </c>
      <c r="J37" s="75">
        <f t="shared" ref="J37" si="5">E37*F37*G37</f>
        <v>320</v>
      </c>
    </row>
    <row r="38" spans="1:10" ht="31.5" x14ac:dyDescent="0.25">
      <c r="A38" s="2" t="s">
        <v>98</v>
      </c>
      <c r="B38" s="118" t="s">
        <v>141</v>
      </c>
      <c r="C38" s="2" t="s">
        <v>1</v>
      </c>
      <c r="D38" s="16">
        <v>36</v>
      </c>
      <c r="E38" s="16">
        <v>36</v>
      </c>
      <c r="F38" s="17">
        <v>6</v>
      </c>
      <c r="G38" s="17">
        <v>12</v>
      </c>
      <c r="H38" s="122" cm="1">
        <f t="array" ref="H38">INDEX('Нормативные затраты по МЗ'!$C$2:$C$7,MATCH(A38&amp;C38,'Нормативные затраты по МЗ'!$A$2:$A$7&amp;'Нормативные затраты по МЗ'!$B$2:$B$7,0))</f>
        <v>249.5</v>
      </c>
      <c r="I38" s="3">
        <f t="shared" si="0"/>
        <v>646704</v>
      </c>
      <c r="J38" s="75">
        <f t="shared" si="1"/>
        <v>2592</v>
      </c>
    </row>
    <row r="39" spans="1:10" ht="31.5" x14ac:dyDescent="0.25">
      <c r="A39" s="2" t="s">
        <v>98</v>
      </c>
      <c r="B39" s="118" t="s">
        <v>141</v>
      </c>
      <c r="C39" s="2" t="s">
        <v>1</v>
      </c>
      <c r="D39" s="16">
        <v>36</v>
      </c>
      <c r="E39" s="16">
        <v>36</v>
      </c>
      <c r="F39" s="17">
        <v>4</v>
      </c>
      <c r="G39" s="17">
        <v>12</v>
      </c>
      <c r="H39" s="122" cm="1">
        <f t="array" ref="H39">INDEX('Нормативные затраты по МЗ'!$C$2:$C$7,MATCH(A39&amp;C39,'Нормативные затраты по МЗ'!$A$2:$A$7&amp;'Нормативные затраты по МЗ'!$B$2:$B$7,0))</f>
        <v>249.5</v>
      </c>
      <c r="I39" s="3">
        <f t="shared" si="0"/>
        <v>431136</v>
      </c>
      <c r="J39" s="75">
        <f t="shared" si="1"/>
        <v>1728</v>
      </c>
    </row>
    <row r="40" spans="1:10" x14ac:dyDescent="0.25">
      <c r="A40" s="2" t="s">
        <v>98</v>
      </c>
      <c r="B40" s="118" t="s">
        <v>110</v>
      </c>
      <c r="C40" s="2" t="s">
        <v>1</v>
      </c>
      <c r="D40" s="16">
        <v>36</v>
      </c>
      <c r="E40" s="16">
        <v>20</v>
      </c>
      <c r="F40" s="17">
        <v>2</v>
      </c>
      <c r="G40" s="17">
        <v>10</v>
      </c>
      <c r="H40" s="122" cm="1">
        <f t="array" ref="H40">INDEX('Нормативные затраты по МЗ'!$C$2:$C$7,MATCH(A40&amp;C40,'Нормативные затраты по МЗ'!$A$2:$A$7&amp;'Нормативные затраты по МЗ'!$B$2:$B$7,0))</f>
        <v>249.5</v>
      </c>
      <c r="I40" s="3">
        <f t="shared" si="0"/>
        <v>99800</v>
      </c>
      <c r="J40" s="75">
        <f t="shared" si="1"/>
        <v>400</v>
      </c>
    </row>
    <row r="41" spans="1:10" x14ac:dyDescent="0.25">
      <c r="A41" s="2" t="s">
        <v>98</v>
      </c>
      <c r="B41" s="118" t="s">
        <v>110</v>
      </c>
      <c r="C41" s="2" t="s">
        <v>1</v>
      </c>
      <c r="D41" s="16">
        <v>36</v>
      </c>
      <c r="E41" s="16">
        <v>16</v>
      </c>
      <c r="F41" s="17">
        <v>2</v>
      </c>
      <c r="G41" s="17">
        <v>10</v>
      </c>
      <c r="H41" s="122" cm="1">
        <f t="array" ref="H41">INDEX('Нормативные затраты по МЗ'!$C$2:$C$7,MATCH(A41&amp;C41,'Нормативные затраты по МЗ'!$A$2:$A$7&amp;'Нормативные затраты по МЗ'!$B$2:$B$7,0))</f>
        <v>249.5</v>
      </c>
      <c r="I41" s="3">
        <f t="shared" si="0"/>
        <v>79840</v>
      </c>
      <c r="J41" s="75">
        <f t="shared" si="1"/>
        <v>320</v>
      </c>
    </row>
    <row r="42" spans="1:10" x14ac:dyDescent="0.25">
      <c r="A42" s="2" t="s">
        <v>98</v>
      </c>
      <c r="B42" s="118" t="s">
        <v>110</v>
      </c>
      <c r="C42" s="2" t="s">
        <v>1</v>
      </c>
      <c r="D42" s="16">
        <v>36</v>
      </c>
      <c r="E42" s="16">
        <v>20</v>
      </c>
      <c r="F42" s="17">
        <v>4</v>
      </c>
      <c r="G42" s="17">
        <v>10</v>
      </c>
      <c r="H42" s="122" cm="1">
        <f t="array" ref="H42">INDEX('Нормативные затраты по МЗ'!$C$2:$C$7,MATCH(A42&amp;C42,'Нормативные затраты по МЗ'!$A$2:$A$7&amp;'Нормативные затраты по МЗ'!$B$2:$B$7,0))</f>
        <v>249.5</v>
      </c>
      <c r="I42" s="3">
        <f t="shared" si="0"/>
        <v>199600</v>
      </c>
      <c r="J42" s="75">
        <f t="shared" si="1"/>
        <v>800</v>
      </c>
    </row>
    <row r="43" spans="1:10" x14ac:dyDescent="0.25">
      <c r="A43" s="2" t="s">
        <v>98</v>
      </c>
      <c r="B43" s="118" t="s">
        <v>110</v>
      </c>
      <c r="C43" s="2" t="s">
        <v>1</v>
      </c>
      <c r="D43" s="16">
        <v>36</v>
      </c>
      <c r="E43" s="16">
        <v>16</v>
      </c>
      <c r="F43" s="17">
        <v>4</v>
      </c>
      <c r="G43" s="17">
        <v>10</v>
      </c>
      <c r="H43" s="122" cm="1">
        <f t="array" ref="H43">INDEX('Нормативные затраты по МЗ'!$C$2:$C$7,MATCH(A43&amp;C43,'Нормативные затраты по МЗ'!$A$2:$A$7&amp;'Нормативные затраты по МЗ'!$B$2:$B$7,0))</f>
        <v>249.5</v>
      </c>
      <c r="I43" s="3">
        <f t="shared" si="0"/>
        <v>159680</v>
      </c>
      <c r="J43" s="75">
        <f t="shared" si="1"/>
        <v>640</v>
      </c>
    </row>
    <row r="44" spans="1:10" x14ac:dyDescent="0.25">
      <c r="A44" s="2" t="s">
        <v>98</v>
      </c>
      <c r="B44" s="118" t="s">
        <v>142</v>
      </c>
      <c r="C44" s="2" t="s">
        <v>1</v>
      </c>
      <c r="D44" s="16">
        <v>36</v>
      </c>
      <c r="E44" s="16">
        <v>36</v>
      </c>
      <c r="F44" s="17">
        <v>6</v>
      </c>
      <c r="G44" s="17">
        <v>20</v>
      </c>
      <c r="H44" s="122" cm="1">
        <f t="array" ref="H44">INDEX('Нормативные затраты по МЗ'!$C$2:$C$7,MATCH(A44&amp;C44,'Нормативные затраты по МЗ'!$A$2:$A$7&amp;'Нормативные затраты по МЗ'!$B$2:$B$7,0))</f>
        <v>249.5</v>
      </c>
      <c r="I44" s="3">
        <f t="shared" si="0"/>
        <v>1077840</v>
      </c>
      <c r="J44" s="75">
        <f t="shared" si="1"/>
        <v>4320</v>
      </c>
    </row>
    <row r="45" spans="1:10" x14ac:dyDescent="0.25">
      <c r="A45" s="2" t="s">
        <v>98</v>
      </c>
      <c r="B45" s="118" t="s">
        <v>143</v>
      </c>
      <c r="C45" s="2" t="s">
        <v>1</v>
      </c>
      <c r="D45" s="16">
        <v>36</v>
      </c>
      <c r="E45" s="16">
        <v>36</v>
      </c>
      <c r="F45" s="17">
        <v>4</v>
      </c>
      <c r="G45" s="17">
        <v>20</v>
      </c>
      <c r="H45" s="122" cm="1">
        <f t="array" ref="H45">INDEX('Нормативные затраты по МЗ'!$C$2:$C$7,MATCH(A45&amp;C45,'Нормативные затраты по МЗ'!$A$2:$A$7&amp;'Нормативные затраты по МЗ'!$B$2:$B$7,0))</f>
        <v>249.5</v>
      </c>
      <c r="I45" s="3">
        <f t="shared" si="0"/>
        <v>718560</v>
      </c>
      <c r="J45" s="75">
        <f t="shared" si="1"/>
        <v>2880</v>
      </c>
    </row>
    <row r="46" spans="1:10" x14ac:dyDescent="0.25">
      <c r="A46" s="2" t="s">
        <v>98</v>
      </c>
      <c r="B46" s="118" t="s">
        <v>103</v>
      </c>
      <c r="C46" s="2" t="s">
        <v>1</v>
      </c>
      <c r="D46" s="16">
        <v>36</v>
      </c>
      <c r="E46" s="16">
        <v>36</v>
      </c>
      <c r="F46" s="17">
        <v>2</v>
      </c>
      <c r="G46" s="17">
        <v>16</v>
      </c>
      <c r="H46" s="122" cm="1">
        <f t="array" ref="H46">INDEX('Нормативные затраты по МЗ'!$C$2:$C$7,MATCH(A46&amp;C46,'Нормативные затраты по МЗ'!$A$2:$A$7&amp;'Нормативные затраты по МЗ'!$B$2:$B$7,0))</f>
        <v>249.5</v>
      </c>
      <c r="I46" s="3">
        <f t="shared" si="0"/>
        <v>287424</v>
      </c>
      <c r="J46" s="75">
        <f t="shared" si="1"/>
        <v>1152</v>
      </c>
    </row>
    <row r="47" spans="1:10" x14ac:dyDescent="0.25">
      <c r="A47" s="2" t="s">
        <v>98</v>
      </c>
      <c r="B47" s="118" t="s">
        <v>152</v>
      </c>
      <c r="C47" s="2" t="s">
        <v>1</v>
      </c>
      <c r="D47" s="16">
        <v>36</v>
      </c>
      <c r="E47" s="16">
        <v>20</v>
      </c>
      <c r="F47" s="17">
        <v>2</v>
      </c>
      <c r="G47" s="17">
        <v>10</v>
      </c>
      <c r="H47" s="122" cm="1">
        <f t="array" ref="H47">INDEX('Нормативные затраты по МЗ'!$C$2:$C$7,MATCH(A47&amp;C47,'Нормативные затраты по МЗ'!$A$2:$A$7&amp;'Нормативные затраты по МЗ'!$B$2:$B$7,0))</f>
        <v>249.5</v>
      </c>
      <c r="I47" s="3">
        <f t="shared" si="0"/>
        <v>99800</v>
      </c>
      <c r="J47" s="75">
        <f t="shared" si="1"/>
        <v>400</v>
      </c>
    </row>
    <row r="48" spans="1:10" x14ac:dyDescent="0.25">
      <c r="A48" s="2" t="s">
        <v>98</v>
      </c>
      <c r="B48" s="118" t="s">
        <v>152</v>
      </c>
      <c r="C48" s="2" t="s">
        <v>1</v>
      </c>
      <c r="D48" s="16">
        <v>36</v>
      </c>
      <c r="E48" s="16">
        <v>16</v>
      </c>
      <c r="F48" s="17">
        <v>2</v>
      </c>
      <c r="G48" s="17">
        <v>10</v>
      </c>
      <c r="H48" s="122" cm="1">
        <f t="array" ref="H48">INDEX('Нормативные затраты по МЗ'!$C$2:$C$7,MATCH(A48&amp;C48,'Нормативные затраты по МЗ'!$A$2:$A$7&amp;'Нормативные затраты по МЗ'!$B$2:$B$7,0))</f>
        <v>249.5</v>
      </c>
      <c r="I48" s="3">
        <f t="shared" si="0"/>
        <v>79840</v>
      </c>
      <c r="J48" s="75">
        <f t="shared" si="1"/>
        <v>320</v>
      </c>
    </row>
    <row r="49" spans="1:10" x14ac:dyDescent="0.25">
      <c r="A49" s="2" t="s">
        <v>98</v>
      </c>
      <c r="B49" s="118" t="s">
        <v>104</v>
      </c>
      <c r="C49" s="2" t="s">
        <v>1</v>
      </c>
      <c r="D49" s="16">
        <v>36</v>
      </c>
      <c r="E49" s="16">
        <v>36</v>
      </c>
      <c r="F49" s="17">
        <v>4</v>
      </c>
      <c r="G49" s="17">
        <v>0</v>
      </c>
      <c r="H49" s="122" cm="1">
        <f t="array" ref="H49">INDEX('Нормативные затраты по МЗ'!$C$2:$C$7,MATCH(A49&amp;C49,'Нормативные затраты по МЗ'!$A$2:$A$7&amp;'Нормативные затраты по МЗ'!$B$2:$B$7,0))</f>
        <v>249.5</v>
      </c>
      <c r="I49" s="3">
        <f t="shared" si="0"/>
        <v>0</v>
      </c>
      <c r="J49" s="75">
        <f t="shared" si="1"/>
        <v>0</v>
      </c>
    </row>
    <row r="50" spans="1:10" x14ac:dyDescent="0.25">
      <c r="A50" s="2" t="s">
        <v>98</v>
      </c>
      <c r="B50" s="118" t="s">
        <v>144</v>
      </c>
      <c r="C50" s="2" t="s">
        <v>1</v>
      </c>
      <c r="D50" s="16">
        <v>36</v>
      </c>
      <c r="E50" s="16">
        <v>20</v>
      </c>
      <c r="F50" s="17">
        <v>2</v>
      </c>
      <c r="G50" s="17">
        <v>10</v>
      </c>
      <c r="H50" s="122" cm="1">
        <f t="array" ref="H50">INDEX('Нормативные затраты по МЗ'!$C$2:$C$7,MATCH(A50&amp;C50,'Нормативные затраты по МЗ'!$A$2:$A$7&amp;'Нормативные затраты по МЗ'!$B$2:$B$7,0))</f>
        <v>249.5</v>
      </c>
      <c r="I50" s="3">
        <f t="shared" si="0"/>
        <v>99800</v>
      </c>
      <c r="J50" s="75">
        <f t="shared" si="1"/>
        <v>400</v>
      </c>
    </row>
    <row r="51" spans="1:10" x14ac:dyDescent="0.25">
      <c r="A51" s="2" t="s">
        <v>98</v>
      </c>
      <c r="B51" s="118" t="s">
        <v>144</v>
      </c>
      <c r="C51" s="2" t="s">
        <v>1</v>
      </c>
      <c r="D51" s="16">
        <v>36</v>
      </c>
      <c r="E51" s="16">
        <v>16</v>
      </c>
      <c r="F51" s="17">
        <v>2</v>
      </c>
      <c r="G51" s="17">
        <v>10</v>
      </c>
      <c r="H51" s="122" cm="1">
        <f t="array" ref="H51">INDEX('Нормативные затраты по МЗ'!$C$2:$C$7,MATCH(A51&amp;C51,'Нормативные затраты по МЗ'!$A$2:$A$7&amp;'Нормативные затраты по МЗ'!$B$2:$B$7,0))</f>
        <v>249.5</v>
      </c>
      <c r="I51" s="3">
        <f t="shared" si="0"/>
        <v>79840</v>
      </c>
      <c r="J51" s="75">
        <f t="shared" si="1"/>
        <v>320</v>
      </c>
    </row>
    <row r="52" spans="1:10" x14ac:dyDescent="0.25">
      <c r="A52" s="2" t="s">
        <v>98</v>
      </c>
      <c r="B52" s="118" t="s">
        <v>145</v>
      </c>
      <c r="C52" s="2" t="s">
        <v>1</v>
      </c>
      <c r="D52" s="16">
        <v>36</v>
      </c>
      <c r="E52" s="16">
        <v>20</v>
      </c>
      <c r="F52" s="17">
        <v>4</v>
      </c>
      <c r="G52" s="17">
        <v>10</v>
      </c>
      <c r="H52" s="122" cm="1">
        <f t="array" ref="H52">INDEX('Нормативные затраты по МЗ'!$C$2:$C$7,MATCH(A52&amp;C52,'Нормативные затраты по МЗ'!$A$2:$A$7&amp;'Нормативные затраты по МЗ'!$B$2:$B$7,0))</f>
        <v>249.5</v>
      </c>
      <c r="I52" s="3">
        <f t="shared" si="0"/>
        <v>199600</v>
      </c>
      <c r="J52" s="75">
        <f t="shared" si="1"/>
        <v>800</v>
      </c>
    </row>
    <row r="53" spans="1:10" x14ac:dyDescent="0.25">
      <c r="A53" s="2" t="s">
        <v>98</v>
      </c>
      <c r="B53" s="118" t="s">
        <v>145</v>
      </c>
      <c r="C53" s="2" t="s">
        <v>1</v>
      </c>
      <c r="D53" s="16">
        <v>36</v>
      </c>
      <c r="E53" s="16">
        <v>16</v>
      </c>
      <c r="F53" s="17">
        <v>4</v>
      </c>
      <c r="G53" s="17">
        <v>10</v>
      </c>
      <c r="H53" s="122" cm="1">
        <f t="array" ref="H53">INDEX('Нормативные затраты по МЗ'!$C$2:$C$7,MATCH(A53&amp;C53,'Нормативные затраты по МЗ'!$A$2:$A$7&amp;'Нормативные затраты по МЗ'!$B$2:$B$7,0))</f>
        <v>249.5</v>
      </c>
      <c r="I53" s="3">
        <f t="shared" si="0"/>
        <v>159680</v>
      </c>
      <c r="J53" s="75">
        <f t="shared" si="1"/>
        <v>640</v>
      </c>
    </row>
    <row r="54" spans="1:10" x14ac:dyDescent="0.25">
      <c r="A54" s="2" t="s">
        <v>98</v>
      </c>
      <c r="B54" s="118" t="s">
        <v>146</v>
      </c>
      <c r="C54" s="2" t="s">
        <v>1</v>
      </c>
      <c r="D54" s="16">
        <v>36</v>
      </c>
      <c r="E54" s="16">
        <v>20</v>
      </c>
      <c r="F54" s="17">
        <v>4</v>
      </c>
      <c r="G54" s="17">
        <v>10</v>
      </c>
      <c r="H54" s="122" cm="1">
        <f t="array" ref="H54">INDEX('Нормативные затраты по МЗ'!$C$2:$C$7,MATCH(A54&amp;C54,'Нормативные затраты по МЗ'!$A$2:$A$7&amp;'Нормативные затраты по МЗ'!$B$2:$B$7,0))</f>
        <v>249.5</v>
      </c>
      <c r="I54" s="3">
        <f t="shared" si="0"/>
        <v>199600</v>
      </c>
      <c r="J54" s="75">
        <f t="shared" si="1"/>
        <v>800</v>
      </c>
    </row>
    <row r="55" spans="1:10" x14ac:dyDescent="0.25">
      <c r="A55" s="2" t="s">
        <v>98</v>
      </c>
      <c r="B55" s="118" t="s">
        <v>146</v>
      </c>
      <c r="C55" s="2" t="s">
        <v>1</v>
      </c>
      <c r="D55" s="16">
        <v>36</v>
      </c>
      <c r="E55" s="16">
        <v>16</v>
      </c>
      <c r="F55" s="17">
        <v>4</v>
      </c>
      <c r="G55" s="17">
        <v>10</v>
      </c>
      <c r="H55" s="122" cm="1">
        <f t="array" ref="H55">INDEX('Нормативные затраты по МЗ'!$C$2:$C$7,MATCH(A55&amp;C55,'Нормативные затраты по МЗ'!$A$2:$A$7&amp;'Нормативные затраты по МЗ'!$B$2:$B$7,0))</f>
        <v>249.5</v>
      </c>
      <c r="I55" s="3">
        <f t="shared" si="0"/>
        <v>159680</v>
      </c>
      <c r="J55" s="75">
        <f t="shared" si="1"/>
        <v>640</v>
      </c>
    </row>
    <row r="56" spans="1:10" x14ac:dyDescent="0.25">
      <c r="A56" s="2" t="s">
        <v>98</v>
      </c>
      <c r="B56" s="118" t="s">
        <v>147</v>
      </c>
      <c r="C56" s="2" t="s">
        <v>2</v>
      </c>
      <c r="D56" s="16">
        <v>36</v>
      </c>
      <c r="E56" s="16">
        <v>20</v>
      </c>
      <c r="F56" s="17">
        <v>4</v>
      </c>
      <c r="G56" s="17">
        <v>30</v>
      </c>
      <c r="H56" s="122" cm="1">
        <f t="array" ref="H56">INDEX('Нормативные затраты по МЗ'!$C$2:$C$7,MATCH(A56&amp;C56,'Нормативные затраты по МЗ'!$A$2:$A$7&amp;'Нормативные затраты по МЗ'!$B$2:$B$7,0))</f>
        <v>242.2</v>
      </c>
      <c r="I56" s="3">
        <f t="shared" si="0"/>
        <v>581280</v>
      </c>
      <c r="J56" s="75">
        <f t="shared" si="1"/>
        <v>2400</v>
      </c>
    </row>
    <row r="57" spans="1:10" x14ac:dyDescent="0.25">
      <c r="A57" s="2" t="s">
        <v>98</v>
      </c>
      <c r="B57" s="118" t="s">
        <v>147</v>
      </c>
      <c r="C57" s="2" t="s">
        <v>2</v>
      </c>
      <c r="D57" s="16">
        <v>36</v>
      </c>
      <c r="E57" s="16">
        <v>16</v>
      </c>
      <c r="F57" s="17">
        <v>4</v>
      </c>
      <c r="G57" s="17">
        <v>30</v>
      </c>
      <c r="H57" s="122" cm="1">
        <f t="array" ref="H57">INDEX('Нормативные затраты по МЗ'!$C$2:$C$7,MATCH(A57&amp;C57,'Нормативные затраты по МЗ'!$A$2:$A$7&amp;'Нормативные затраты по МЗ'!$B$2:$B$7,0))</f>
        <v>242.2</v>
      </c>
      <c r="I57" s="3">
        <f t="shared" si="0"/>
        <v>465024</v>
      </c>
      <c r="J57" s="75">
        <f t="shared" si="1"/>
        <v>1920</v>
      </c>
    </row>
    <row r="58" spans="1:10" x14ac:dyDescent="0.25">
      <c r="A58" s="2" t="s">
        <v>98</v>
      </c>
      <c r="B58" s="118" t="s">
        <v>124</v>
      </c>
      <c r="C58" s="2" t="s">
        <v>2</v>
      </c>
      <c r="D58" s="16">
        <v>36</v>
      </c>
      <c r="E58" s="16">
        <v>20</v>
      </c>
      <c r="F58" s="17">
        <v>4</v>
      </c>
      <c r="G58" s="17">
        <v>10</v>
      </c>
      <c r="H58" s="122" cm="1">
        <f t="array" ref="H58">INDEX('Нормативные затраты по МЗ'!$C$2:$C$7,MATCH(A58&amp;C58,'Нормативные затраты по МЗ'!$A$2:$A$7&amp;'Нормативные затраты по МЗ'!$B$2:$B$7,0))</f>
        <v>242.2</v>
      </c>
      <c r="I58" s="3">
        <f t="shared" si="0"/>
        <v>193760</v>
      </c>
      <c r="J58" s="75">
        <f t="shared" si="1"/>
        <v>800</v>
      </c>
    </row>
    <row r="59" spans="1:10" x14ac:dyDescent="0.25">
      <c r="A59" s="2" t="s">
        <v>98</v>
      </c>
      <c r="B59" s="118" t="s">
        <v>124</v>
      </c>
      <c r="C59" s="2" t="s">
        <v>2</v>
      </c>
      <c r="D59" s="16">
        <v>36</v>
      </c>
      <c r="E59" s="16">
        <v>16</v>
      </c>
      <c r="F59" s="17">
        <v>4</v>
      </c>
      <c r="G59" s="17">
        <v>10</v>
      </c>
      <c r="H59" s="122" cm="1">
        <f t="array" ref="H59">INDEX('Нормативные затраты по МЗ'!$C$2:$C$7,MATCH(A59&amp;C59,'Нормативные затраты по МЗ'!$A$2:$A$7&amp;'Нормативные затраты по МЗ'!$B$2:$B$7,0))</f>
        <v>242.2</v>
      </c>
      <c r="I59" s="3">
        <f t="shared" si="0"/>
        <v>155008</v>
      </c>
      <c r="J59" s="75">
        <f t="shared" si="1"/>
        <v>640</v>
      </c>
    </row>
    <row r="60" spans="1:10" x14ac:dyDescent="0.25">
      <c r="A60" s="2" t="s">
        <v>98</v>
      </c>
      <c r="B60" s="118" t="s">
        <v>148</v>
      </c>
      <c r="C60" s="2" t="s">
        <v>2</v>
      </c>
      <c r="D60" s="16">
        <v>36</v>
      </c>
      <c r="E60" s="16">
        <v>20</v>
      </c>
      <c r="F60" s="17">
        <v>2</v>
      </c>
      <c r="G60" s="17">
        <v>0</v>
      </c>
      <c r="H60" s="122" cm="1">
        <f t="array" ref="H60">INDEX('Нормативные затраты по МЗ'!$C$2:$C$7,MATCH(A60&amp;C60,'Нормативные затраты по МЗ'!$A$2:$A$7&amp;'Нормативные затраты по МЗ'!$B$2:$B$7,0))</f>
        <v>242.2</v>
      </c>
      <c r="I60" s="3">
        <f t="shared" si="0"/>
        <v>0</v>
      </c>
      <c r="J60" s="75">
        <f t="shared" si="1"/>
        <v>0</v>
      </c>
    </row>
    <row r="61" spans="1:10" x14ac:dyDescent="0.25">
      <c r="A61" s="2" t="s">
        <v>98</v>
      </c>
      <c r="B61" s="118" t="s">
        <v>148</v>
      </c>
      <c r="C61" s="2" t="s">
        <v>2</v>
      </c>
      <c r="D61" s="16">
        <v>36</v>
      </c>
      <c r="E61" s="16">
        <v>16</v>
      </c>
      <c r="F61" s="17">
        <v>2</v>
      </c>
      <c r="G61" s="17">
        <v>0</v>
      </c>
      <c r="H61" s="122" cm="1">
        <f t="array" ref="H61">INDEX('Нормативные затраты по МЗ'!$C$2:$C$7,MATCH(A61&amp;C61,'Нормативные затраты по МЗ'!$A$2:$A$7&amp;'Нормативные затраты по МЗ'!$B$2:$B$7,0))</f>
        <v>242.2</v>
      </c>
      <c r="I61" s="3">
        <f t="shared" si="0"/>
        <v>0</v>
      </c>
      <c r="J61" s="75">
        <f t="shared" si="1"/>
        <v>0</v>
      </c>
    </row>
    <row r="62" spans="1:10" x14ac:dyDescent="0.25">
      <c r="A62" s="2" t="s">
        <v>98</v>
      </c>
      <c r="B62" s="118" t="s">
        <v>148</v>
      </c>
      <c r="C62" s="2" t="s">
        <v>2</v>
      </c>
      <c r="D62" s="16">
        <v>36</v>
      </c>
      <c r="E62" s="16">
        <v>20</v>
      </c>
      <c r="F62" s="17">
        <v>4</v>
      </c>
      <c r="G62" s="17">
        <v>20</v>
      </c>
      <c r="H62" s="122" cm="1">
        <f t="array" ref="H62">INDEX('Нормативные затраты по МЗ'!$C$2:$C$7,MATCH(A62&amp;C62,'Нормативные затраты по МЗ'!$A$2:$A$7&amp;'Нормативные затраты по МЗ'!$B$2:$B$7,0))</f>
        <v>242.2</v>
      </c>
      <c r="I62" s="3">
        <f t="shared" si="0"/>
        <v>387520</v>
      </c>
      <c r="J62" s="75">
        <f t="shared" si="1"/>
        <v>1600</v>
      </c>
    </row>
    <row r="63" spans="1:10" x14ac:dyDescent="0.25">
      <c r="A63" s="2" t="s">
        <v>98</v>
      </c>
      <c r="B63" s="118" t="s">
        <v>148</v>
      </c>
      <c r="C63" s="2" t="s">
        <v>2</v>
      </c>
      <c r="D63" s="16">
        <v>36</v>
      </c>
      <c r="E63" s="16">
        <v>16</v>
      </c>
      <c r="F63" s="17">
        <v>4</v>
      </c>
      <c r="G63" s="17">
        <v>20</v>
      </c>
      <c r="H63" s="122" cm="1">
        <f t="array" ref="H63">INDEX('Нормативные затраты по МЗ'!$C$2:$C$7,MATCH(A63&amp;C63,'Нормативные затраты по МЗ'!$A$2:$A$7&amp;'Нормативные затраты по МЗ'!$B$2:$B$7,0))</f>
        <v>242.2</v>
      </c>
      <c r="I63" s="3">
        <f t="shared" si="0"/>
        <v>310016</v>
      </c>
      <c r="J63" s="75">
        <f t="shared" si="1"/>
        <v>1280</v>
      </c>
    </row>
    <row r="64" spans="1:10" x14ac:dyDescent="0.25">
      <c r="A64" s="2" t="s">
        <v>98</v>
      </c>
      <c r="B64" s="118" t="s">
        <v>149</v>
      </c>
      <c r="C64" s="2" t="s">
        <v>2</v>
      </c>
      <c r="D64" s="16">
        <v>36</v>
      </c>
      <c r="E64" s="16">
        <v>36</v>
      </c>
      <c r="F64" s="17">
        <v>6</v>
      </c>
      <c r="G64" s="17">
        <v>0</v>
      </c>
      <c r="H64" s="122" cm="1">
        <f t="array" ref="H64">INDEX('Нормативные затраты по МЗ'!$C$2:$C$7,MATCH(A64&amp;C64,'Нормативные затраты по МЗ'!$A$2:$A$7&amp;'Нормативные затраты по МЗ'!$B$2:$B$7,0))</f>
        <v>242.2</v>
      </c>
      <c r="I64" s="3">
        <f t="shared" si="0"/>
        <v>0</v>
      </c>
      <c r="J64" s="75">
        <f t="shared" si="1"/>
        <v>0</v>
      </c>
    </row>
    <row r="65" spans="1:10" x14ac:dyDescent="0.25">
      <c r="A65" s="2" t="s">
        <v>98</v>
      </c>
      <c r="B65" s="118" t="s">
        <v>156</v>
      </c>
      <c r="C65" s="2" t="s">
        <v>2</v>
      </c>
      <c r="D65" s="16">
        <v>36</v>
      </c>
      <c r="E65" s="16">
        <v>36</v>
      </c>
      <c r="F65" s="17">
        <v>4</v>
      </c>
      <c r="G65" s="17">
        <v>48</v>
      </c>
      <c r="H65" s="122" cm="1">
        <f t="array" ref="H65">INDEX('Нормативные затраты по МЗ'!$C$2:$C$7,MATCH(A65&amp;C65,'Нормативные затраты по МЗ'!$A$2:$A$7&amp;'Нормативные затраты по МЗ'!$B$2:$B$7,0))</f>
        <v>242.2</v>
      </c>
      <c r="I65" s="3">
        <f t="shared" si="0"/>
        <v>1674086.3999999999</v>
      </c>
      <c r="J65" s="75">
        <f t="shared" si="1"/>
        <v>6912</v>
      </c>
    </row>
    <row r="66" spans="1:10" x14ac:dyDescent="0.25">
      <c r="A66" s="2" t="s">
        <v>98</v>
      </c>
      <c r="B66" s="118" t="s">
        <v>126</v>
      </c>
      <c r="C66" s="2" t="s">
        <v>2</v>
      </c>
      <c r="D66" s="16">
        <v>36</v>
      </c>
      <c r="E66" s="16">
        <v>36</v>
      </c>
      <c r="F66" s="17">
        <v>4</v>
      </c>
      <c r="G66" s="17">
        <v>30</v>
      </c>
      <c r="H66" s="122" cm="1">
        <f t="array" ref="H66">INDEX('Нормативные затраты по МЗ'!$C$2:$C$7,MATCH(A66&amp;C66,'Нормативные затраты по МЗ'!$A$2:$A$7&amp;'Нормативные затраты по МЗ'!$B$2:$B$7,0))</f>
        <v>242.2</v>
      </c>
      <c r="I66" s="3">
        <f t="shared" si="0"/>
        <v>1046304</v>
      </c>
      <c r="J66" s="75">
        <f t="shared" si="1"/>
        <v>4320</v>
      </c>
    </row>
    <row r="67" spans="1:10" ht="47.25" x14ac:dyDescent="0.25">
      <c r="A67" s="118" t="s">
        <v>127</v>
      </c>
      <c r="B67" s="118" t="s">
        <v>131</v>
      </c>
      <c r="C67" s="2" t="s">
        <v>2</v>
      </c>
      <c r="D67" s="16">
        <v>42</v>
      </c>
      <c r="E67" s="16">
        <v>42</v>
      </c>
      <c r="F67" s="17">
        <v>6</v>
      </c>
      <c r="G67" s="17">
        <v>2</v>
      </c>
      <c r="H67" s="122" cm="1">
        <f t="array" ref="H67">INDEX('Нормативные затраты по МЗ'!$C$2:$C$7,MATCH(A67&amp;C67,'Нормативные затраты по МЗ'!$A$2:$A$7&amp;'Нормативные затраты по МЗ'!$B$2:$B$7,0))</f>
        <v>133.99</v>
      </c>
      <c r="I67" s="3">
        <f t="shared" ref="I67" si="6">E67*F67*G67*H67</f>
        <v>67530.960000000006</v>
      </c>
      <c r="J67" s="124">
        <f t="shared" ref="J67" si="7">E67*F67*G67</f>
        <v>504</v>
      </c>
    </row>
    <row r="68" spans="1:10" ht="47.25" x14ac:dyDescent="0.25">
      <c r="A68" s="118" t="s">
        <v>127</v>
      </c>
      <c r="B68" s="118" t="s">
        <v>131</v>
      </c>
      <c r="C68" s="2" t="s">
        <v>2</v>
      </c>
      <c r="D68" s="16">
        <v>42</v>
      </c>
      <c r="E68" s="16">
        <v>42</v>
      </c>
      <c r="F68" s="17">
        <v>8</v>
      </c>
      <c r="G68" s="17">
        <v>16</v>
      </c>
      <c r="H68" s="122" cm="1">
        <f t="array" ref="H68">INDEX('Нормативные затраты по МЗ'!$C$2:$C$7,MATCH(A68&amp;C68,'Нормативные затраты по МЗ'!$A$2:$A$7&amp;'Нормативные затраты по МЗ'!$B$2:$B$7,0))</f>
        <v>133.99</v>
      </c>
      <c r="I68" s="3">
        <f t="shared" si="0"/>
        <v>720330.23999999999</v>
      </c>
      <c r="J68" s="124">
        <f t="shared" si="1"/>
        <v>5376</v>
      </c>
    </row>
    <row r="69" spans="1:10" ht="47.25" x14ac:dyDescent="0.25">
      <c r="A69" s="118" t="s">
        <v>127</v>
      </c>
      <c r="B69" s="118" t="s">
        <v>150</v>
      </c>
      <c r="C69" s="2" t="s">
        <v>2</v>
      </c>
      <c r="D69" s="16">
        <v>42</v>
      </c>
      <c r="E69" s="16">
        <v>42</v>
      </c>
      <c r="F69" s="17">
        <v>10</v>
      </c>
      <c r="G69" s="17">
        <v>24</v>
      </c>
      <c r="H69" s="122" cm="1">
        <f t="array" ref="H69">INDEX('Нормативные затраты по МЗ'!$C$2:$C$7,MATCH(A69&amp;C69,'Нормативные затраты по МЗ'!$A$2:$A$7&amp;'Нормативные затраты по МЗ'!$B$2:$B$7,0))</f>
        <v>133.99</v>
      </c>
      <c r="I69" s="3">
        <f t="shared" si="0"/>
        <v>1350619.2</v>
      </c>
      <c r="J69" s="124">
        <f t="shared" si="1"/>
        <v>10080</v>
      </c>
    </row>
    <row r="70" spans="1:10" ht="47.25" x14ac:dyDescent="0.25">
      <c r="A70" s="118" t="s">
        <v>127</v>
      </c>
      <c r="B70" s="118" t="s">
        <v>130</v>
      </c>
      <c r="C70" s="2" t="s">
        <v>2</v>
      </c>
      <c r="D70" s="16">
        <v>36</v>
      </c>
      <c r="E70" s="16">
        <v>36</v>
      </c>
      <c r="F70" s="17">
        <v>6</v>
      </c>
      <c r="G70" s="17">
        <v>15</v>
      </c>
      <c r="H70" s="122" cm="1">
        <f t="array" ref="H70">INDEX('Нормативные затраты по МЗ'!$C$2:$C$7,MATCH(A70&amp;C70,'Нормативные затраты по МЗ'!$A$2:$A$7&amp;'Нормативные затраты по МЗ'!$B$2:$B$7,0))</f>
        <v>133.99</v>
      </c>
      <c r="I70" s="3">
        <f t="shared" si="0"/>
        <v>434127.6</v>
      </c>
      <c r="J70" s="124">
        <f t="shared" si="1"/>
        <v>3240</v>
      </c>
    </row>
    <row r="71" spans="1:10" ht="47.25" x14ac:dyDescent="0.25">
      <c r="A71" s="118" t="s">
        <v>127</v>
      </c>
      <c r="B71" s="118" t="s">
        <v>128</v>
      </c>
      <c r="C71" s="2" t="s">
        <v>2</v>
      </c>
      <c r="D71" s="16">
        <v>36</v>
      </c>
      <c r="E71" s="16">
        <v>36</v>
      </c>
      <c r="F71" s="17">
        <v>4</v>
      </c>
      <c r="G71" s="17">
        <v>6</v>
      </c>
      <c r="H71" s="122" cm="1">
        <f t="array" ref="H71">INDEX('Нормативные затраты по МЗ'!$C$2:$C$7,MATCH(A71&amp;C71,'Нормативные затраты по МЗ'!$A$2:$A$7&amp;'Нормативные затраты по МЗ'!$B$2:$B$7,0))</f>
        <v>133.99</v>
      </c>
      <c r="I71" s="3">
        <f t="shared" ref="I71" si="8">E71*F71*G71*H71</f>
        <v>115767.36</v>
      </c>
      <c r="J71" s="124">
        <f t="shared" ref="J71" si="9">E71*F71*G71</f>
        <v>864</v>
      </c>
    </row>
    <row r="72" spans="1:10" ht="47.25" x14ac:dyDescent="0.25">
      <c r="A72" s="118" t="s">
        <v>127</v>
      </c>
      <c r="B72" s="118" t="s">
        <v>128</v>
      </c>
      <c r="C72" s="2" t="s">
        <v>2</v>
      </c>
      <c r="D72" s="16">
        <v>36</v>
      </c>
      <c r="E72" s="16">
        <v>36</v>
      </c>
      <c r="F72" s="17">
        <v>6</v>
      </c>
      <c r="G72" s="17">
        <v>25</v>
      </c>
      <c r="H72" s="122" cm="1">
        <f t="array" ref="H72">INDEX('Нормативные затраты по МЗ'!$C$2:$C$7,MATCH(A72&amp;C72,'Нормативные затраты по МЗ'!$A$2:$A$7&amp;'Нормативные затраты по МЗ'!$B$2:$B$7,0))</f>
        <v>133.99</v>
      </c>
      <c r="I72" s="3">
        <f t="shared" si="0"/>
        <v>723546</v>
      </c>
      <c r="J72" s="124">
        <f t="shared" si="1"/>
        <v>5400</v>
      </c>
    </row>
    <row r="73" spans="1:10" ht="47.25" x14ac:dyDescent="0.25">
      <c r="A73" s="118" t="s">
        <v>127</v>
      </c>
      <c r="B73" s="118" t="s">
        <v>151</v>
      </c>
      <c r="C73" s="2" t="s">
        <v>2</v>
      </c>
      <c r="D73" s="16">
        <v>42</v>
      </c>
      <c r="E73" s="16">
        <v>42</v>
      </c>
      <c r="F73" s="17">
        <v>8</v>
      </c>
      <c r="G73" s="17">
        <v>34</v>
      </c>
      <c r="H73" s="122" cm="1">
        <f t="array" ref="H73">INDEX('Нормативные затраты по МЗ'!$C$2:$C$7,MATCH(A73&amp;C73,'Нормативные затраты по МЗ'!$A$2:$A$7&amp;'Нормативные затраты по МЗ'!$B$2:$B$7,0))</f>
        <v>133.99</v>
      </c>
      <c r="I73" s="3">
        <f t="shared" si="0"/>
        <v>1530701.76</v>
      </c>
      <c r="J73" s="124">
        <f t="shared" si="1"/>
        <v>11424</v>
      </c>
    </row>
    <row r="74" spans="1:10" ht="47.25" x14ac:dyDescent="0.25">
      <c r="A74" s="118" t="s">
        <v>127</v>
      </c>
      <c r="B74" s="118" t="s">
        <v>10</v>
      </c>
      <c r="C74" s="2" t="s">
        <v>2</v>
      </c>
      <c r="D74" s="16">
        <v>36</v>
      </c>
      <c r="E74" s="16">
        <v>36</v>
      </c>
      <c r="F74" s="17">
        <v>6</v>
      </c>
      <c r="G74" s="17">
        <v>17</v>
      </c>
      <c r="H74" s="122" cm="1">
        <f t="array" ref="H74">INDEX('Нормативные затраты по МЗ'!$C$2:$C$7,MATCH(A74&amp;C74,'Нормативные затраты по МЗ'!$A$2:$A$7&amp;'Нормативные затраты по МЗ'!$B$2:$B$7,0))</f>
        <v>133.99</v>
      </c>
      <c r="I74" s="3">
        <f t="shared" si="0"/>
        <v>492011.28</v>
      </c>
      <c r="J74" s="124">
        <f t="shared" si="1"/>
        <v>3672</v>
      </c>
    </row>
    <row r="75" spans="1:10" x14ac:dyDescent="0.25">
      <c r="A75" s="154"/>
      <c r="B75" s="154"/>
      <c r="C75" s="154"/>
      <c r="D75" s="154"/>
      <c r="E75" s="154"/>
      <c r="F75" s="155"/>
      <c r="G75" s="5">
        <f>SUM(G2:G74)</f>
        <v>1009</v>
      </c>
      <c r="H75" s="6" t="s">
        <v>9</v>
      </c>
      <c r="I75" s="23">
        <f>SUM(I2:I74)</f>
        <v>26197400.800000001</v>
      </c>
      <c r="J75" s="77">
        <f>SUM(J2:J74)</f>
        <v>126112</v>
      </c>
    </row>
    <row r="76" spans="1:10" x14ac:dyDescent="0.25">
      <c r="G76" s="78"/>
    </row>
    <row r="77" spans="1:10" x14ac:dyDescent="0.25">
      <c r="G77" s="10">
        <f>G67+G68+G69+G70+G71+G72+G73+G74</f>
        <v>139</v>
      </c>
      <c r="I77" s="79"/>
      <c r="J77" s="79"/>
    </row>
    <row r="78" spans="1:10" x14ac:dyDescent="0.25">
      <c r="G78" s="10">
        <f>G2+G4+G6+G8+G10+G11+G12+G13+G15+G17+G19+G21+G23+G25+G27+G28+G30+G31+G33+G35+G36+G38+G39+G40+G42+G44+G45+G46+G47+G49+G50+G52+G54+G56+G58+G60+G62+G64+G65+G66</f>
        <v>594</v>
      </c>
      <c r="H78" s="11">
        <f>G3+G5+G7+G9+G10+G12+G14+G16+G18+G20+G22+G24+G25+G26+G27+G29+G30+G32+G33+G34+G35+G37+G38+G39+G41+G43+G44+G45+G46+G48+G49+G51+G53+G55+G57+G59+G61+G63+G64+G65+G66+G11</f>
        <v>592</v>
      </c>
    </row>
  </sheetData>
  <autoFilter ref="A1:K75"/>
  <mergeCells count="1">
    <mergeCell ref="A75:F75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'Нормативные затраты по МЗ'!$A$2:$A$7</xm:f>
          </x14:formula1>
          <xm:sqref>A2:A74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Нормативные затраты по МЗ</vt:lpstr>
      <vt:lpstr>Параметры ПФ</vt:lpstr>
      <vt:lpstr>Затраты на коммунальные услуги</vt:lpstr>
      <vt:lpstr>Затраты на содержание имущества</vt:lpstr>
      <vt:lpstr>Стандартные программы</vt:lpstr>
      <vt:lpstr>Дистанционные программы</vt:lpstr>
      <vt:lpstr>Очно-заочные программы</vt:lpstr>
      <vt:lpstr>Адаптированные программы</vt:lpstr>
      <vt:lpstr>Общеразвив.программы на МЗ</vt:lpstr>
      <vt:lpstr>'Затраты на коммунальные услуги'!Заголовки_для_печати</vt:lpstr>
      <vt:lpstr>'Затраты на содержание имущества'!Заголовки_для_печати</vt:lpstr>
      <vt:lpstr>'Затраты на коммунальные услуги'!Область_печати</vt:lpstr>
      <vt:lpstr>'Затраты на содержание имущества'!Область_печати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Юрист</cp:lastModifiedBy>
  <cp:lastPrinted>2024-11-26T10:56:13Z</cp:lastPrinted>
  <dcterms:created xsi:type="dcterms:W3CDTF">2019-03-03T02:50:35Z</dcterms:created>
  <dcterms:modified xsi:type="dcterms:W3CDTF">2024-12-12T02:41:06Z</dcterms:modified>
</cp:coreProperties>
</file>